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LRF - Publicações\2019\RREO - 6º Bim (geral - ensino - saúde)\"/>
    </mc:Choice>
  </mc:AlternateContent>
  <bookViews>
    <workbookView xWindow="-15" yWindow="6045" windowWidth="28830" windowHeight="6105" tabRatio="708"/>
  </bookViews>
  <sheets>
    <sheet name="RREO-Anexo 01" sheetId="91" r:id="rId1"/>
    <sheet name="RREO-Anexo 02" sheetId="6" r:id="rId2"/>
    <sheet name="RREO-Anexo 03" sheetId="90" r:id="rId3"/>
    <sheet name="RREO-Anexo 04" sheetId="9" r:id="rId4"/>
    <sheet name="RREO-Anexo 06" sheetId="95" r:id="rId5"/>
    <sheet name="RREO-Anexo 07" sheetId="101" r:id="rId6"/>
    <sheet name="RREO-Anexo 08" sheetId="80" r:id="rId7"/>
    <sheet name="RREO-Anexo 09" sheetId="65" r:id="rId8"/>
    <sheet name="RREO-Anexo 10" sheetId="24" r:id="rId9"/>
    <sheet name="RREO-Anexo 11" sheetId="79" r:id="rId10"/>
    <sheet name="RREO-Anexo 12" sheetId="85" r:id="rId11"/>
    <sheet name="RREO-Anexo 13" sheetId="27" r:id="rId12"/>
    <sheet name="RREO-Anexo 14" sheetId="22" r:id="rId13"/>
  </sheets>
  <definedNames>
    <definedName name="Cancela">#REF!,#REF!</definedName>
    <definedName name="fdsafs">#REF!,#REF!</definedName>
    <definedName name="fdsf">#REF!</definedName>
    <definedName name="Ganhos_e_perdas_de_receita" localSheetId="4">#REF!</definedName>
    <definedName name="Ganhos_e_Perdas_de_Receita_99" localSheetId="4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3">#REF!,#REF!</definedName>
    <definedName name="Planilha_1ÁreaTotal" localSheetId="4">#REF!,#REF!</definedName>
    <definedName name="Planilha_1ÁreaTotal" localSheetId="5">'RREO-Anexo 07'!#REF!,'RREO-Anexo 07'!$H$18:$L$28</definedName>
    <definedName name="Planilha_1ÁreaTotal" localSheetId="6">#REF!,#REF!</definedName>
    <definedName name="Planilha_1ÁreaTotal" localSheetId="7">#REF!,#REF!</definedName>
    <definedName name="Planilha_1ÁreaTotal" localSheetId="9">#REF!,#REF!</definedName>
    <definedName name="Planilha_1ÁreaTotal" localSheetId="10">#REF!,#REF!</definedName>
    <definedName name="Planilha_1ÁreaTotal">#REF!,#REF!</definedName>
    <definedName name="Planilha_1CabGráfico" localSheetId="3">#REF!</definedName>
    <definedName name="Planilha_1CabGráfico" localSheetId="4">#REF!</definedName>
    <definedName name="Planilha_1CabGráfico" localSheetId="5">'RREO-Anexo 07'!#REF!</definedName>
    <definedName name="Planilha_1CabGráfico" localSheetId="6">#REF!</definedName>
    <definedName name="Planilha_1CabGráfico" localSheetId="7">#REF!</definedName>
    <definedName name="Planilha_1CabGráfico" localSheetId="9">#REF!</definedName>
    <definedName name="Planilha_1CabGráfico" localSheetId="10">#REF!</definedName>
    <definedName name="Planilha_1CabGráfico">#REF!</definedName>
    <definedName name="Planilha_1TítCols" localSheetId="3">#REF!,#REF!</definedName>
    <definedName name="Planilha_1TítCols" localSheetId="4">#REF!,#REF!</definedName>
    <definedName name="Planilha_1TítCols" localSheetId="5">'RREO-Anexo 07'!#REF!,'RREO-Anexo 07'!#REF!</definedName>
    <definedName name="Planilha_1TítCols" localSheetId="6">#REF!,#REF!</definedName>
    <definedName name="Planilha_1TítCols" localSheetId="7">#REF!,#REF!</definedName>
    <definedName name="Planilha_1TítCols" localSheetId="9">#REF!,#REF!</definedName>
    <definedName name="Planilha_1TítCols" localSheetId="10">#REF!,#REF!</definedName>
    <definedName name="Planilha_1TítCols">#REF!,#REF!</definedName>
    <definedName name="Planilha_1TítLins" localSheetId="3">#REF!</definedName>
    <definedName name="Planilha_1TítLins" localSheetId="4">#REF!</definedName>
    <definedName name="Planilha_1TítLins" localSheetId="5">'RREO-Anexo 07'!#REF!</definedName>
    <definedName name="Planilha_1TítLins" localSheetId="6">#REF!</definedName>
    <definedName name="Planilha_1TítLins" localSheetId="7">#REF!</definedName>
    <definedName name="Planilha_1TítLins" localSheetId="9">#REF!</definedName>
    <definedName name="Planilha_1TítLins" localSheetId="10">#REF!</definedName>
    <definedName name="Planilha_1TítLins">#REF!</definedName>
    <definedName name="Planilha_2ÁreaTotal" localSheetId="4">#REF!,#REF!</definedName>
    <definedName name="Planilha_2ÁreaTotal" localSheetId="5">#REF!,#REF!</definedName>
    <definedName name="Planilha_2ÁreaTotal" localSheetId="6">#REF!,#REF!</definedName>
    <definedName name="Planilha_2ÁreaTotal" localSheetId="9">#REF!,#REF!</definedName>
    <definedName name="Planilha_2ÁreaTotal" localSheetId="10">#REF!,#REF!</definedName>
    <definedName name="Planilha_2ÁreaTotal">#REF!,#REF!</definedName>
    <definedName name="Planilha_2CabGráfico" localSheetId="4">#REF!</definedName>
    <definedName name="Planilha_2CabGráfico" localSheetId="5">#REF!</definedName>
    <definedName name="Planilha_2CabGráfico" localSheetId="6">#REF!</definedName>
    <definedName name="Planilha_2CabGráfico" localSheetId="10">#REF!</definedName>
    <definedName name="Planilha_2CabGráfico">#REF!</definedName>
    <definedName name="Planilha_2TítCols" localSheetId="4">#REF!,#REF!</definedName>
    <definedName name="Planilha_2TítCols" localSheetId="5">#REF!,#REF!</definedName>
    <definedName name="Planilha_2TítCols" localSheetId="6">#REF!,#REF!</definedName>
    <definedName name="Planilha_2TítCols" localSheetId="9">#REF!,#REF!</definedName>
    <definedName name="Planilha_2TítCols" localSheetId="10">#REF!,#REF!</definedName>
    <definedName name="Planilha_2TítCols">#REF!,#REF!</definedName>
    <definedName name="Planilha_2TítLins" localSheetId="4">#REF!</definedName>
    <definedName name="Planilha_2TítLins" localSheetId="5">#REF!</definedName>
    <definedName name="Planilha_2TítLins" localSheetId="6">#REF!</definedName>
    <definedName name="Planilha_2TítLins" localSheetId="10">#REF!</definedName>
    <definedName name="Planilha_2TítLins">#REF!</definedName>
    <definedName name="Planilha_3ÁreaTotal" localSheetId="4">#REF!,#REF!</definedName>
    <definedName name="Planilha_3ÁreaTotal" localSheetId="5">#REF!,#REF!</definedName>
    <definedName name="Planilha_3ÁreaTotal" localSheetId="6">#REF!,#REF!</definedName>
    <definedName name="Planilha_3ÁreaTotal" localSheetId="9">#REF!,#REF!</definedName>
    <definedName name="Planilha_3ÁreaTotal" localSheetId="10">#REF!,#REF!</definedName>
    <definedName name="Planilha_3ÁreaTotal">#REF!,#REF!</definedName>
    <definedName name="Planilha_3CabGráfico" localSheetId="4">#REF!</definedName>
    <definedName name="Planilha_3CabGráfico" localSheetId="5">#REF!</definedName>
    <definedName name="Planilha_3CabGráfico" localSheetId="6">#REF!</definedName>
    <definedName name="Planilha_3CabGráfico" localSheetId="10">#REF!</definedName>
    <definedName name="Planilha_3CabGráfico">#REF!</definedName>
    <definedName name="Planilha_3TítCols" localSheetId="4">#REF!,#REF!</definedName>
    <definedName name="Planilha_3TítCols" localSheetId="5">#REF!,#REF!</definedName>
    <definedName name="Planilha_3TítCols" localSheetId="6">#REF!,#REF!</definedName>
    <definedName name="Planilha_3TítCols" localSheetId="9">#REF!,#REF!</definedName>
    <definedName name="Planilha_3TítCols" localSheetId="10">#REF!,#REF!</definedName>
    <definedName name="Planilha_3TítCols">#REF!,#REF!</definedName>
    <definedName name="Planilha_3TítLins" localSheetId="4">#REF!</definedName>
    <definedName name="Planilha_3TítLins" localSheetId="5">#REF!</definedName>
    <definedName name="Planilha_3TítLins" localSheetId="6">#REF!</definedName>
    <definedName name="Planilha_3TítLins" localSheetId="10">#REF!</definedName>
    <definedName name="Planilha_3TítLins">#REF!</definedName>
    <definedName name="Planilha_4ÁreaTotal" localSheetId="4">#REF!,#REF!</definedName>
    <definedName name="Planilha_4ÁreaTotal" localSheetId="5">#REF!,#REF!</definedName>
    <definedName name="Planilha_4ÁreaTotal" localSheetId="6">#REF!,#REF!</definedName>
    <definedName name="Planilha_4ÁreaTotal" localSheetId="9">#REF!,#REF!</definedName>
    <definedName name="Planilha_4ÁreaTotal" localSheetId="10">#REF!,#REF!</definedName>
    <definedName name="Planilha_4ÁreaTotal">#REF!,#REF!</definedName>
    <definedName name="Planilha_4TítCols" localSheetId="4">#REF!,#REF!</definedName>
    <definedName name="Planilha_4TítCols" localSheetId="5">#REF!,#REF!</definedName>
    <definedName name="Planilha_4TítCols" localSheetId="6">#REF!,#REF!</definedName>
    <definedName name="Planilha_4TítCols" localSheetId="9">#REF!,#REF!</definedName>
    <definedName name="Planilha_4TítCols" localSheetId="10">#REF!,#REF!</definedName>
    <definedName name="Planilha_4TítCols">#REF!,#REF!</definedName>
    <definedName name="Planilha_Educação" localSheetId="9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Tabela_1___Déficit_da_Previdência_Social__RGPS" localSheetId="4">#REF!</definedName>
    <definedName name="Tabela_10___Resultado_Primário_do_Governo_Central_em_1999" localSheetId="4">#REF!</definedName>
    <definedName name="Tabela_2___Contribuições_Previdenciárias" localSheetId="4">#REF!</definedName>
    <definedName name="Tabela_3___Benefícios__previsto_x_realizado" localSheetId="4">#REF!</definedName>
    <definedName name="Tabela_4___Receitas_Administradas_pela_SRF__previsto_x_realizado" localSheetId="4">#REF!</definedName>
    <definedName name="Tabela_5___Receitas_Administradas_em_Agosto" localSheetId="4">#REF!</definedName>
    <definedName name="Tabela_6___Receitas_Diretamente_Arrecadadas" localSheetId="4">#REF!</definedName>
    <definedName name="Tabela_7___Déficit_da_Previdência_Social_em_1999" localSheetId="4">#REF!</definedName>
    <definedName name="Tabela_8___Receitas_Administradas__revisão_da_previsão" localSheetId="4">#REF!</definedName>
    <definedName name="Tabela_9___Resultado_Primário_de_1999" localSheetId="4">#REF!</definedName>
    <definedName name="xxx">#REF!,#REF!</definedName>
  </definedNames>
  <calcPr calcId="162913"/>
</workbook>
</file>

<file path=xl/calcChain.xml><?xml version="1.0" encoding="utf-8"?>
<calcChain xmlns="http://schemas.openxmlformats.org/spreadsheetml/2006/main">
  <c r="E137" i="22" l="1"/>
  <c r="E136" i="22"/>
  <c r="C136" i="22"/>
  <c r="C138" i="22" s="1"/>
  <c r="C135" i="22" s="1"/>
  <c r="D137" i="22"/>
  <c r="D138" i="22" s="1"/>
  <c r="D135" i="22" s="1"/>
  <c r="B135" i="22"/>
  <c r="E138" i="22"/>
  <c r="E135" i="22" s="1"/>
  <c r="B138" i="22"/>
  <c r="C137" i="22"/>
  <c r="B137" i="22"/>
  <c r="D136" i="22"/>
  <c r="B136" i="22"/>
  <c r="H71" i="85" l="1"/>
  <c r="C166" i="80" l="1"/>
  <c r="B137" i="80"/>
  <c r="D96" i="24" l="1"/>
  <c r="D95" i="24"/>
  <c r="D94" i="24"/>
  <c r="D93" i="24"/>
  <c r="D92" i="24"/>
  <c r="D91" i="24"/>
  <c r="D90" i="24"/>
  <c r="D89" i="24"/>
  <c r="D88" i="24"/>
  <c r="D87" i="24"/>
  <c r="D86" i="24"/>
  <c r="D85" i="24"/>
  <c r="D84" i="24"/>
  <c r="D83" i="24"/>
  <c r="D82" i="24"/>
  <c r="D81" i="24"/>
  <c r="D80" i="24"/>
  <c r="D79" i="24"/>
  <c r="D78" i="24"/>
  <c r="D77" i="24"/>
  <c r="D76" i="24"/>
  <c r="D75" i="24"/>
  <c r="D74" i="24"/>
  <c r="D73" i="24"/>
  <c r="D72" i="24"/>
  <c r="D71" i="24"/>
  <c r="D70" i="24"/>
  <c r="D69" i="24"/>
  <c r="D68" i="24"/>
  <c r="D67" i="24"/>
  <c r="D66" i="24"/>
  <c r="D65" i="24"/>
  <c r="D64" i="24"/>
  <c r="D63" i="24"/>
  <c r="D62" i="24"/>
  <c r="D61" i="24"/>
  <c r="D60" i="24"/>
  <c r="D59" i="24"/>
  <c r="D58" i="24"/>
  <c r="D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E22" i="24"/>
  <c r="E23" i="24" s="1"/>
  <c r="E24" i="24" s="1"/>
  <c r="E25" i="24" s="1"/>
  <c r="E26" i="24" s="1"/>
  <c r="E27" i="24" s="1"/>
  <c r="E28" i="24" s="1"/>
  <c r="E29" i="24" s="1"/>
  <c r="E30" i="24" s="1"/>
  <c r="E31" i="24" s="1"/>
  <c r="E32" i="24" s="1"/>
  <c r="E33" i="24" s="1"/>
  <c r="E34" i="24" s="1"/>
  <c r="E35" i="24" s="1"/>
  <c r="E36" i="24" s="1"/>
  <c r="E37" i="24" s="1"/>
  <c r="E38" i="24" s="1"/>
  <c r="E39" i="24" s="1"/>
  <c r="E40" i="24" s="1"/>
  <c r="E41" i="24" s="1"/>
  <c r="E42" i="24" s="1"/>
  <c r="E43" i="24" s="1"/>
  <c r="E44" i="24" s="1"/>
  <c r="E45" i="24" s="1"/>
  <c r="E46" i="24" s="1"/>
  <c r="E47" i="24" s="1"/>
  <c r="E48" i="24" s="1"/>
  <c r="E49" i="24" s="1"/>
  <c r="E50" i="24" s="1"/>
  <c r="E51" i="24" s="1"/>
  <c r="E52" i="24" s="1"/>
  <c r="E53" i="24" s="1"/>
  <c r="E54" i="24" s="1"/>
  <c r="E55" i="24" s="1"/>
  <c r="E56" i="24" s="1"/>
  <c r="E57" i="24" s="1"/>
  <c r="E58" i="24" s="1"/>
  <c r="E59" i="24" s="1"/>
  <c r="E60" i="24" s="1"/>
  <c r="E61" i="24" s="1"/>
  <c r="E62" i="24" s="1"/>
  <c r="E63" i="24" s="1"/>
  <c r="E64" i="24" s="1"/>
  <c r="E65" i="24" s="1"/>
  <c r="E66" i="24" s="1"/>
  <c r="E67" i="24" s="1"/>
  <c r="E68" i="24" s="1"/>
  <c r="E69" i="24" s="1"/>
  <c r="E70" i="24" s="1"/>
  <c r="E71" i="24" s="1"/>
  <c r="E72" i="24" s="1"/>
  <c r="E73" i="24" s="1"/>
  <c r="E74" i="24" s="1"/>
  <c r="E75" i="24" s="1"/>
  <c r="E76" i="24" s="1"/>
  <c r="E77" i="24" s="1"/>
  <c r="E78" i="24" s="1"/>
  <c r="E79" i="24" s="1"/>
  <c r="E80" i="24" s="1"/>
  <c r="E81" i="24" s="1"/>
  <c r="E82" i="24" s="1"/>
  <c r="E83" i="24" s="1"/>
  <c r="E84" i="24" s="1"/>
  <c r="E85" i="24" s="1"/>
  <c r="E86" i="24" s="1"/>
  <c r="E87" i="24" s="1"/>
  <c r="E88" i="24" s="1"/>
  <c r="E89" i="24" s="1"/>
  <c r="E90" i="24" s="1"/>
  <c r="E91" i="24" s="1"/>
  <c r="E92" i="24" s="1"/>
  <c r="E93" i="24" s="1"/>
  <c r="E94" i="24" s="1"/>
  <c r="E95" i="24" s="1"/>
  <c r="E96" i="24" s="1"/>
  <c r="I184" i="9" l="1"/>
  <c r="H184" i="9"/>
  <c r="G184" i="9"/>
  <c r="F184" i="9"/>
  <c r="E184" i="9"/>
  <c r="D184" i="9"/>
  <c r="C184" i="9"/>
  <c r="B184" i="9"/>
  <c r="I180" i="9"/>
  <c r="H180" i="9"/>
  <c r="G180" i="9"/>
  <c r="F180" i="9"/>
  <c r="F175" i="9" s="1"/>
  <c r="E180" i="9"/>
  <c r="D180" i="9"/>
  <c r="C180" i="9"/>
  <c r="B180" i="9"/>
  <c r="I176" i="9"/>
  <c r="H176" i="9"/>
  <c r="G176" i="9"/>
  <c r="F176" i="9"/>
  <c r="E176" i="9"/>
  <c r="D176" i="9"/>
  <c r="C176" i="9"/>
  <c r="B176" i="9"/>
  <c r="I175" i="9"/>
  <c r="H175" i="9"/>
  <c r="G175" i="9"/>
  <c r="E175" i="9"/>
  <c r="D175" i="9"/>
  <c r="C175" i="9"/>
  <c r="B175" i="9"/>
  <c r="I172" i="9"/>
  <c r="I187" i="9" s="1"/>
  <c r="H172" i="9"/>
  <c r="H187" i="9" s="1"/>
  <c r="G172" i="9"/>
  <c r="G187" i="9" s="1"/>
  <c r="F172" i="9"/>
  <c r="E172" i="9"/>
  <c r="E187" i="9" s="1"/>
  <c r="D172" i="9"/>
  <c r="D187" i="9" s="1"/>
  <c r="C172" i="9"/>
  <c r="C187" i="9" s="1"/>
  <c r="B172" i="9"/>
  <c r="B187" i="9" s="1"/>
  <c r="E158" i="9"/>
  <c r="D158" i="9"/>
  <c r="C158" i="9"/>
  <c r="B158" i="9"/>
  <c r="E155" i="9"/>
  <c r="D155" i="9"/>
  <c r="C155" i="9"/>
  <c r="B155" i="9"/>
  <c r="E150" i="9"/>
  <c r="D150" i="9"/>
  <c r="C150" i="9"/>
  <c r="B150" i="9"/>
  <c r="E146" i="9"/>
  <c r="D146" i="9"/>
  <c r="C146" i="9"/>
  <c r="B146" i="9"/>
  <c r="E142" i="9"/>
  <c r="D142" i="9"/>
  <c r="D141" i="9" s="1"/>
  <c r="C142" i="9"/>
  <c r="C141" i="9" s="1"/>
  <c r="B142" i="9"/>
  <c r="B141" i="9" s="1"/>
  <c r="E141" i="9"/>
  <c r="E137" i="9"/>
  <c r="D137" i="9"/>
  <c r="C137" i="9"/>
  <c r="B137" i="9"/>
  <c r="E133" i="9"/>
  <c r="D133" i="9"/>
  <c r="D132" i="9" s="1"/>
  <c r="D131" i="9" s="1"/>
  <c r="D162" i="9" s="1"/>
  <c r="C133" i="9"/>
  <c r="B133" i="9"/>
  <c r="E132" i="9"/>
  <c r="C132" i="9"/>
  <c r="B132" i="9"/>
  <c r="E131" i="9"/>
  <c r="E162" i="9" s="1"/>
  <c r="I75" i="9"/>
  <c r="H75" i="9"/>
  <c r="G75" i="9"/>
  <c r="F75" i="9"/>
  <c r="E75" i="9"/>
  <c r="D75" i="9"/>
  <c r="C75" i="9"/>
  <c r="B75" i="9"/>
  <c r="I71" i="9"/>
  <c r="H71" i="9"/>
  <c r="G71" i="9"/>
  <c r="F71" i="9"/>
  <c r="E71" i="9"/>
  <c r="D71" i="9"/>
  <c r="C71" i="9"/>
  <c r="B71" i="9"/>
  <c r="I67" i="9"/>
  <c r="H67" i="9"/>
  <c r="G67" i="9"/>
  <c r="F67" i="9"/>
  <c r="E67" i="9"/>
  <c r="D67" i="9"/>
  <c r="C67" i="9"/>
  <c r="B67" i="9"/>
  <c r="I66" i="9"/>
  <c r="H66" i="9"/>
  <c r="G66" i="9"/>
  <c r="F66" i="9"/>
  <c r="E66" i="9"/>
  <c r="D66" i="9"/>
  <c r="C66" i="9"/>
  <c r="I63" i="9"/>
  <c r="H63" i="9"/>
  <c r="H78" i="9" s="1"/>
  <c r="G63" i="9"/>
  <c r="G78" i="9" s="1"/>
  <c r="F63" i="9"/>
  <c r="F78" i="9" s="1"/>
  <c r="E63" i="9"/>
  <c r="D63" i="9"/>
  <c r="D78" i="9" s="1"/>
  <c r="C63" i="9"/>
  <c r="C78" i="9" s="1"/>
  <c r="B63" i="9"/>
  <c r="E49" i="9"/>
  <c r="D49" i="9"/>
  <c r="C49" i="9"/>
  <c r="B49" i="9"/>
  <c r="E45" i="9"/>
  <c r="D45" i="9"/>
  <c r="C45" i="9"/>
  <c r="B45" i="9"/>
  <c r="E40" i="9"/>
  <c r="D40" i="9"/>
  <c r="C40" i="9"/>
  <c r="B40" i="9"/>
  <c r="E36" i="9"/>
  <c r="D36" i="9"/>
  <c r="C36" i="9"/>
  <c r="B36" i="9"/>
  <c r="E32" i="9"/>
  <c r="D32" i="9"/>
  <c r="C32" i="9"/>
  <c r="B32" i="9"/>
  <c r="B31" i="9" s="1"/>
  <c r="E31" i="9"/>
  <c r="D31" i="9"/>
  <c r="D21" i="9" s="1"/>
  <c r="D53" i="9" s="1"/>
  <c r="C31" i="9"/>
  <c r="E27" i="9"/>
  <c r="D27" i="9"/>
  <c r="C27" i="9"/>
  <c r="B27" i="9"/>
  <c r="E23" i="9"/>
  <c r="D23" i="9"/>
  <c r="C23" i="9"/>
  <c r="B23" i="9"/>
  <c r="E22" i="9"/>
  <c r="D22" i="9"/>
  <c r="C22" i="9"/>
  <c r="C21" i="9" s="1"/>
  <c r="C53" i="9" s="1"/>
  <c r="C79" i="9" s="1"/>
  <c r="B22" i="9"/>
  <c r="E21" i="9"/>
  <c r="E53" i="9" s="1"/>
  <c r="B12" i="9"/>
  <c r="E19" i="9" s="1"/>
  <c r="F187" i="9" l="1"/>
  <c r="C131" i="9"/>
  <c r="C162" i="9" s="1"/>
  <c r="C188" i="9" s="1"/>
  <c r="B131" i="9"/>
  <c r="B162" i="9" s="1"/>
  <c r="B188" i="9" s="1"/>
  <c r="E78" i="9"/>
  <c r="E79" i="9" s="1"/>
  <c r="I78" i="9"/>
  <c r="B66" i="9"/>
  <c r="B78" i="9" s="1"/>
  <c r="F79" i="9"/>
  <c r="D79" i="9"/>
  <c r="G79" i="9"/>
  <c r="F188" i="9"/>
  <c r="D188" i="9"/>
  <c r="G61" i="9"/>
  <c r="D61" i="9"/>
  <c r="D170" i="9" s="1"/>
  <c r="F170" i="9" s="1"/>
  <c r="F61" i="9"/>
  <c r="E61" i="9"/>
  <c r="E170" i="9" s="1"/>
  <c r="G170" i="9" s="1"/>
  <c r="B21" i="9"/>
  <c r="B53" i="9" s="1"/>
  <c r="G188" i="9"/>
  <c r="E188" i="9"/>
  <c r="D19" i="9"/>
  <c r="E95" i="22"/>
  <c r="D95" i="22"/>
  <c r="C95" i="22"/>
  <c r="B95" i="22"/>
  <c r="E94" i="22"/>
  <c r="D94" i="22"/>
  <c r="C94" i="22"/>
  <c r="B94" i="22"/>
  <c r="E93" i="22"/>
  <c r="E99" i="22"/>
  <c r="D93" i="22"/>
  <c r="D99" i="22"/>
  <c r="C93" i="22"/>
  <c r="B93" i="22"/>
  <c r="B99" i="22"/>
  <c r="B30" i="22"/>
  <c r="B29" i="22"/>
  <c r="B28" i="22"/>
  <c r="B27" i="22"/>
  <c r="B25" i="22"/>
  <c r="B24" i="22"/>
  <c r="B23" i="22"/>
  <c r="B22" i="22"/>
  <c r="B21" i="22"/>
  <c r="B33" i="22"/>
  <c r="B32" i="22"/>
  <c r="B31" i="22"/>
  <c r="C121" i="22"/>
  <c r="B121" i="22"/>
  <c r="D111" i="22"/>
  <c r="B111" i="22"/>
  <c r="C99" i="22"/>
  <c r="B167" i="22"/>
  <c r="C148" i="22"/>
  <c r="B148" i="22"/>
  <c r="E89" i="22"/>
  <c r="D89" i="22"/>
  <c r="C89" i="22"/>
  <c r="B89" i="22"/>
  <c r="E88" i="22"/>
  <c r="D88" i="22"/>
  <c r="C88" i="22"/>
  <c r="B88" i="22"/>
  <c r="E87" i="22"/>
  <c r="D87" i="22"/>
  <c r="C87" i="22"/>
  <c r="B87" i="22"/>
  <c r="D78" i="22"/>
  <c r="C78" i="22"/>
  <c r="B78" i="22"/>
  <c r="D77" i="22"/>
  <c r="C77" i="22"/>
  <c r="B77" i="22"/>
  <c r="B68" i="22"/>
  <c r="B67" i="22"/>
  <c r="B66" i="22"/>
  <c r="B64" i="22"/>
  <c r="B63" i="22"/>
  <c r="B62" i="22"/>
  <c r="D23" i="27"/>
  <c r="C23" i="27"/>
  <c r="B23" i="27"/>
  <c r="D21" i="27"/>
  <c r="C21" i="27"/>
  <c r="B21" i="27"/>
  <c r="D27" i="27"/>
  <c r="C27" i="27"/>
  <c r="B27" i="27"/>
  <c r="G57" i="85"/>
  <c r="E57" i="85"/>
  <c r="H56" i="85"/>
  <c r="G56" i="85"/>
  <c r="F56" i="85"/>
  <c r="E56" i="85"/>
  <c r="D56" i="85"/>
  <c r="C56" i="85"/>
  <c r="B56" i="85"/>
  <c r="E51" i="85"/>
  <c r="D51" i="85"/>
  <c r="C51" i="85"/>
  <c r="B51" i="85"/>
  <c r="E50" i="85"/>
  <c r="E49" i="85"/>
  <c r="E48" i="85"/>
  <c r="E47" i="85"/>
  <c r="E46" i="85"/>
  <c r="E45" i="85"/>
  <c r="E44" i="85"/>
  <c r="E43" i="85"/>
  <c r="D43" i="85"/>
  <c r="C43" i="85"/>
  <c r="B43" i="85"/>
  <c r="E38" i="85"/>
  <c r="D38" i="85"/>
  <c r="C38" i="85"/>
  <c r="B38" i="85"/>
  <c r="E37" i="85"/>
  <c r="E36" i="85"/>
  <c r="E35" i="85"/>
  <c r="D35" i="85"/>
  <c r="C35" i="85"/>
  <c r="C29" i="85"/>
  <c r="E29" i="85"/>
  <c r="B35" i="85"/>
  <c r="E34" i="85"/>
  <c r="E33" i="85"/>
  <c r="E32" i="85"/>
  <c r="E31" i="85"/>
  <c r="E30" i="85"/>
  <c r="D29" i="85"/>
  <c r="B29" i="85"/>
  <c r="E28" i="85"/>
  <c r="E27" i="85"/>
  <c r="E26" i="85"/>
  <c r="E25" i="85"/>
  <c r="E24" i="85"/>
  <c r="E23" i="85"/>
  <c r="G124" i="85"/>
  <c r="E124" i="85"/>
  <c r="G123" i="85"/>
  <c r="E123" i="85"/>
  <c r="G122" i="85"/>
  <c r="E122" i="85"/>
  <c r="G121" i="85"/>
  <c r="G127" i="85"/>
  <c r="E121" i="85"/>
  <c r="G120" i="85"/>
  <c r="E120" i="85"/>
  <c r="E115" i="85"/>
  <c r="D115" i="85"/>
  <c r="C115" i="85"/>
  <c r="E109" i="85"/>
  <c r="C109" i="85"/>
  <c r="E104" i="85"/>
  <c r="D104" i="85"/>
  <c r="C104" i="85"/>
  <c r="E98" i="85"/>
  <c r="C98" i="85"/>
  <c r="B98" i="85"/>
  <c r="G94" i="85"/>
  <c r="F94" i="85"/>
  <c r="E94" i="85"/>
  <c r="D94" i="85"/>
  <c r="C94" i="85"/>
  <c r="H79" i="85"/>
  <c r="H81" i="85" s="1"/>
  <c r="B79" i="85"/>
  <c r="B81" i="85" s="1"/>
  <c r="H127" i="85"/>
  <c r="F127" i="85"/>
  <c r="D127" i="85"/>
  <c r="C127" i="85"/>
  <c r="B127" i="85"/>
  <c r="G126" i="85"/>
  <c r="E126" i="85"/>
  <c r="G125" i="85"/>
  <c r="E125" i="85"/>
  <c r="E22" i="85"/>
  <c r="E21" i="85"/>
  <c r="E20" i="85"/>
  <c r="D20" i="85"/>
  <c r="C20" i="85"/>
  <c r="B20" i="85"/>
  <c r="G76" i="85"/>
  <c r="E74" i="85"/>
  <c r="G73" i="85"/>
  <c r="E72" i="85"/>
  <c r="G71" i="85"/>
  <c r="F71" i="85"/>
  <c r="F79" i="85" s="1"/>
  <c r="D71" i="85"/>
  <c r="D79" i="85" s="1"/>
  <c r="C71" i="85"/>
  <c r="C79" i="85" s="1"/>
  <c r="C81" i="85" s="1"/>
  <c r="B71" i="85"/>
  <c r="E70" i="85"/>
  <c r="G69" i="85"/>
  <c r="H64" i="85"/>
  <c r="F64" i="85"/>
  <c r="G75" i="85"/>
  <c r="D64" i="85"/>
  <c r="E77" i="85"/>
  <c r="C64" i="85"/>
  <c r="B64" i="85"/>
  <c r="G63" i="85"/>
  <c r="E63" i="85"/>
  <c r="G62" i="85"/>
  <c r="E62" i="85"/>
  <c r="G61" i="85"/>
  <c r="E61" i="85"/>
  <c r="H60" i="85"/>
  <c r="G60" i="85"/>
  <c r="F60" i="85"/>
  <c r="E60" i="85"/>
  <c r="D60" i="85"/>
  <c r="C60" i="85"/>
  <c r="B60" i="85"/>
  <c r="G59" i="85"/>
  <c r="E59" i="85"/>
  <c r="G58" i="85"/>
  <c r="E58" i="85"/>
  <c r="D23" i="79"/>
  <c r="D22" i="79"/>
  <c r="H34" i="79"/>
  <c r="H33" i="79"/>
  <c r="G33" i="79"/>
  <c r="F33" i="79"/>
  <c r="E33" i="79"/>
  <c r="D33" i="79"/>
  <c r="C33" i="79"/>
  <c r="B33" i="79"/>
  <c r="H32" i="79"/>
  <c r="H31" i="79"/>
  <c r="H30" i="79"/>
  <c r="H29" i="79"/>
  <c r="G29" i="79"/>
  <c r="F29" i="79"/>
  <c r="E29" i="79"/>
  <c r="D29" i="79"/>
  <c r="C29" i="79"/>
  <c r="B29" i="79"/>
  <c r="G28" i="79"/>
  <c r="F28" i="79"/>
  <c r="E28" i="79"/>
  <c r="D28" i="79"/>
  <c r="C28" i="79"/>
  <c r="B28" i="79"/>
  <c r="D21" i="79"/>
  <c r="D20" i="79"/>
  <c r="C19" i="79"/>
  <c r="B19" i="79"/>
  <c r="D27" i="65"/>
  <c r="D26" i="65"/>
  <c r="D25" i="65"/>
  <c r="D29" i="65"/>
  <c r="D28" i="65"/>
  <c r="C24" i="65"/>
  <c r="C30" i="65" s="1"/>
  <c r="B122" i="22" s="1"/>
  <c r="B24" i="65"/>
  <c r="B30" i="65" s="1"/>
  <c r="B31" i="65" s="1"/>
  <c r="D19" i="65"/>
  <c r="E27" i="80"/>
  <c r="E26" i="80"/>
  <c r="E25" i="80"/>
  <c r="D25" i="80"/>
  <c r="C25" i="80"/>
  <c r="B25" i="80"/>
  <c r="E24" i="80"/>
  <c r="E23" i="80"/>
  <c r="E22" i="80"/>
  <c r="D22" i="80"/>
  <c r="C22" i="80"/>
  <c r="B22" i="80"/>
  <c r="D21" i="80"/>
  <c r="D46" i="80"/>
  <c r="C21" i="80"/>
  <c r="B21" i="80"/>
  <c r="H119" i="80"/>
  <c r="G119" i="80"/>
  <c r="F119" i="80"/>
  <c r="E119" i="80"/>
  <c r="D119" i="80"/>
  <c r="C119" i="80"/>
  <c r="B119" i="80"/>
  <c r="C172" i="80"/>
  <c r="C178" i="80" s="1"/>
  <c r="B172" i="80"/>
  <c r="B171" i="80"/>
  <c r="C168" i="80"/>
  <c r="B168" i="80"/>
  <c r="B167" i="80"/>
  <c r="C160" i="80"/>
  <c r="B160" i="80"/>
  <c r="H156" i="80"/>
  <c r="G156" i="80"/>
  <c r="F156" i="80"/>
  <c r="E156" i="80"/>
  <c r="D156" i="80"/>
  <c r="C156" i="80"/>
  <c r="B156" i="80"/>
  <c r="G155" i="80"/>
  <c r="E155" i="80"/>
  <c r="G154" i="80"/>
  <c r="E154" i="80"/>
  <c r="G153" i="80"/>
  <c r="E153" i="80"/>
  <c r="G152" i="80"/>
  <c r="E152" i="80"/>
  <c r="E28" i="80"/>
  <c r="D28" i="80"/>
  <c r="C28" i="80"/>
  <c r="B28" i="80"/>
  <c r="E41" i="80"/>
  <c r="E40" i="80"/>
  <c r="E39" i="80"/>
  <c r="E38" i="80"/>
  <c r="E37" i="80"/>
  <c r="E36" i="80"/>
  <c r="D36" i="80"/>
  <c r="C36" i="80"/>
  <c r="B36" i="80"/>
  <c r="E35" i="80"/>
  <c r="D35" i="80"/>
  <c r="C35" i="80"/>
  <c r="B35" i="80"/>
  <c r="E34" i="80"/>
  <c r="E33" i="80"/>
  <c r="E32" i="80"/>
  <c r="D32" i="80"/>
  <c r="C32" i="80"/>
  <c r="B32" i="80"/>
  <c r="E31" i="80"/>
  <c r="E30" i="80"/>
  <c r="E29" i="80"/>
  <c r="B178" i="80"/>
  <c r="C173" i="80"/>
  <c r="B173" i="80"/>
  <c r="B113" i="80"/>
  <c r="B112" i="80"/>
  <c r="B109" i="80"/>
  <c r="B108" i="80"/>
  <c r="B107" i="80"/>
  <c r="B106" i="80"/>
  <c r="B103" i="80"/>
  <c r="B100" i="80"/>
  <c r="B99" i="80"/>
  <c r="B98" i="80"/>
  <c r="H94" i="80"/>
  <c r="G94" i="80"/>
  <c r="F94" i="80"/>
  <c r="E94" i="80"/>
  <c r="D94" i="80"/>
  <c r="C94" i="80"/>
  <c r="B94" i="80"/>
  <c r="G93" i="80"/>
  <c r="E93" i="80"/>
  <c r="G92" i="80"/>
  <c r="E92" i="80"/>
  <c r="H91" i="80"/>
  <c r="G91" i="80"/>
  <c r="F91" i="80"/>
  <c r="E91" i="80"/>
  <c r="D91" i="80"/>
  <c r="C91" i="80"/>
  <c r="B91" i="80"/>
  <c r="G90" i="80"/>
  <c r="E90" i="80"/>
  <c r="G89" i="80"/>
  <c r="E89" i="80"/>
  <c r="H88" i="80"/>
  <c r="G88" i="80"/>
  <c r="F88" i="80"/>
  <c r="E88" i="80"/>
  <c r="D88" i="80"/>
  <c r="C88" i="80"/>
  <c r="B88" i="80"/>
  <c r="E81" i="80"/>
  <c r="D81" i="80"/>
  <c r="C81" i="80"/>
  <c r="B81" i="80"/>
  <c r="E80" i="80"/>
  <c r="E79" i="80"/>
  <c r="E78" i="80"/>
  <c r="E77" i="80"/>
  <c r="D77" i="80"/>
  <c r="C77" i="80"/>
  <c r="B77" i="80"/>
  <c r="E76" i="80"/>
  <c r="E75" i="80"/>
  <c r="E74" i="80"/>
  <c r="E73" i="80"/>
  <c r="E72" i="80"/>
  <c r="E71" i="80"/>
  <c r="E70" i="80"/>
  <c r="D70" i="80"/>
  <c r="C70" i="80"/>
  <c r="B70" i="80"/>
  <c r="E63" i="80"/>
  <c r="E62" i="80"/>
  <c r="E61" i="80"/>
  <c r="E60" i="80"/>
  <c r="E59" i="80"/>
  <c r="D59" i="80"/>
  <c r="C59" i="80"/>
  <c r="B59" i="80"/>
  <c r="E58" i="80"/>
  <c r="E57" i="80"/>
  <c r="E56" i="80"/>
  <c r="E55" i="80"/>
  <c r="E54" i="80"/>
  <c r="E53" i="80"/>
  <c r="D52" i="80"/>
  <c r="D64" i="80" s="1"/>
  <c r="C52" i="80"/>
  <c r="B52" i="80"/>
  <c r="B64" i="80" s="1"/>
  <c r="E51" i="80"/>
  <c r="C46" i="80"/>
  <c r="B46" i="80"/>
  <c r="E45" i="80"/>
  <c r="E44" i="80"/>
  <c r="E43" i="80"/>
  <c r="E42" i="80"/>
  <c r="B138" i="80"/>
  <c r="B135" i="80"/>
  <c r="G131" i="80"/>
  <c r="E131" i="80"/>
  <c r="G130" i="80"/>
  <c r="E130" i="80"/>
  <c r="G129" i="80"/>
  <c r="E129" i="80"/>
  <c r="G128" i="80"/>
  <c r="E128" i="80"/>
  <c r="G127" i="80"/>
  <c r="E127" i="80"/>
  <c r="G126" i="80"/>
  <c r="E126" i="80"/>
  <c r="H125" i="80"/>
  <c r="G125" i="80"/>
  <c r="F125" i="80"/>
  <c r="E125" i="80"/>
  <c r="D125" i="80"/>
  <c r="C125" i="80"/>
  <c r="B125" i="80"/>
  <c r="G124" i="80"/>
  <c r="E124" i="80"/>
  <c r="G123" i="80"/>
  <c r="E123" i="80"/>
  <c r="H122" i="80"/>
  <c r="G122" i="80"/>
  <c r="F122" i="80"/>
  <c r="E122" i="80"/>
  <c r="D122" i="80"/>
  <c r="C122" i="80"/>
  <c r="B122" i="80"/>
  <c r="G121" i="80"/>
  <c r="E121" i="80"/>
  <c r="G120" i="80"/>
  <c r="E120" i="80"/>
  <c r="H118" i="80"/>
  <c r="H132" i="80"/>
  <c r="H157" i="80"/>
  <c r="F118" i="80"/>
  <c r="F132" i="80"/>
  <c r="F157" i="80"/>
  <c r="D118" i="80"/>
  <c r="D132" i="80"/>
  <c r="D157" i="80"/>
  <c r="C118" i="80"/>
  <c r="C132" i="80"/>
  <c r="B118" i="80"/>
  <c r="B132" i="80"/>
  <c r="B157" i="80"/>
  <c r="M42" i="101"/>
  <c r="L42" i="101"/>
  <c r="F42" i="101"/>
  <c r="L41" i="101"/>
  <c r="L39" i="101"/>
  <c r="L27" i="101"/>
  <c r="L28" i="101"/>
  <c r="K41" i="101"/>
  <c r="J41" i="101"/>
  <c r="I41" i="101"/>
  <c r="H41" i="101"/>
  <c r="G41" i="101"/>
  <c r="F41" i="101"/>
  <c r="E41" i="101"/>
  <c r="D41" i="101"/>
  <c r="C41" i="101"/>
  <c r="B41" i="101"/>
  <c r="M40" i="101"/>
  <c r="L40" i="101"/>
  <c r="F40" i="101"/>
  <c r="K39" i="101"/>
  <c r="K27" i="101"/>
  <c r="K28" i="101"/>
  <c r="J39" i="101"/>
  <c r="J27" i="101"/>
  <c r="J28" i="101"/>
  <c r="I39" i="101"/>
  <c r="I27" i="101"/>
  <c r="I28" i="101"/>
  <c r="H39" i="101"/>
  <c r="H27" i="101"/>
  <c r="H28" i="101"/>
  <c r="G39" i="101"/>
  <c r="G27" i="101"/>
  <c r="G28" i="101"/>
  <c r="F39" i="101"/>
  <c r="F27" i="101"/>
  <c r="F28" i="101"/>
  <c r="E39" i="101"/>
  <c r="E27" i="101"/>
  <c r="E28" i="101"/>
  <c r="D39" i="101"/>
  <c r="D27" i="101"/>
  <c r="D28" i="101"/>
  <c r="C39" i="101"/>
  <c r="C27" i="101"/>
  <c r="C28" i="101"/>
  <c r="B39" i="101"/>
  <c r="B27" i="101"/>
  <c r="B28" i="101"/>
  <c r="M26" i="101"/>
  <c r="L26" i="101"/>
  <c r="L24" i="101"/>
  <c r="L22" i="101"/>
  <c r="F26" i="101"/>
  <c r="M25" i="101"/>
  <c r="L25" i="101"/>
  <c r="F25" i="101"/>
  <c r="M24" i="101"/>
  <c r="M22" i="101"/>
  <c r="K24" i="101"/>
  <c r="J24" i="101"/>
  <c r="I24" i="101"/>
  <c r="H24" i="101"/>
  <c r="G24" i="101"/>
  <c r="F24" i="101"/>
  <c r="F22" i="101"/>
  <c r="E24" i="101"/>
  <c r="D24" i="101"/>
  <c r="C24" i="101"/>
  <c r="B24" i="101"/>
  <c r="M23" i="101"/>
  <c r="L23" i="101"/>
  <c r="F23" i="101"/>
  <c r="K22" i="101"/>
  <c r="J22" i="101"/>
  <c r="I22" i="101"/>
  <c r="H22" i="101"/>
  <c r="G22" i="101"/>
  <c r="E22" i="101"/>
  <c r="D22" i="101"/>
  <c r="C22" i="101"/>
  <c r="B22" i="101"/>
  <c r="M43" i="101"/>
  <c r="L43" i="101"/>
  <c r="F43" i="101"/>
  <c r="B94" i="95"/>
  <c r="H85" i="95"/>
  <c r="G85" i="95"/>
  <c r="F85" i="95"/>
  <c r="E85" i="95"/>
  <c r="D85" i="95"/>
  <c r="C85" i="95"/>
  <c r="B85" i="95"/>
  <c r="H83" i="95"/>
  <c r="G83" i="95"/>
  <c r="F83" i="95"/>
  <c r="E83" i="95"/>
  <c r="D83" i="95"/>
  <c r="C83" i="95"/>
  <c r="B83" i="95"/>
  <c r="H77" i="95"/>
  <c r="G77" i="95"/>
  <c r="F77" i="95"/>
  <c r="E77" i="95"/>
  <c r="D77" i="95"/>
  <c r="C77" i="95"/>
  <c r="B77" i="95"/>
  <c r="H75" i="95"/>
  <c r="G75" i="95"/>
  <c r="F75" i="95"/>
  <c r="E75" i="95"/>
  <c r="D75" i="95"/>
  <c r="C75" i="95"/>
  <c r="B75" i="95"/>
  <c r="H74" i="95"/>
  <c r="G74" i="95"/>
  <c r="F74" i="95"/>
  <c r="E74" i="95"/>
  <c r="D74" i="95"/>
  <c r="C74" i="95"/>
  <c r="B74" i="95"/>
  <c r="B188" i="95"/>
  <c r="B179" i="95"/>
  <c r="B170" i="95"/>
  <c r="H70" i="95"/>
  <c r="G70" i="95"/>
  <c r="F70" i="95"/>
  <c r="E70" i="95"/>
  <c r="D70" i="95"/>
  <c r="C70" i="95"/>
  <c r="B70" i="95"/>
  <c r="C59" i="95"/>
  <c r="B59" i="95"/>
  <c r="C58" i="95"/>
  <c r="B58" i="95"/>
  <c r="C55" i="95"/>
  <c r="B55" i="95"/>
  <c r="C52" i="95"/>
  <c r="B52" i="95"/>
  <c r="C29" i="95"/>
  <c r="B29" i="95"/>
  <c r="C48" i="95"/>
  <c r="B48" i="95"/>
  <c r="C45" i="95"/>
  <c r="B45" i="95"/>
  <c r="C41" i="95"/>
  <c r="B41" i="95"/>
  <c r="C32" i="95"/>
  <c r="B32" i="95"/>
  <c r="C22" i="95"/>
  <c r="B22" i="95"/>
  <c r="C21" i="95"/>
  <c r="C44" i="95"/>
  <c r="B21" i="95"/>
  <c r="B44" i="95"/>
  <c r="B165" i="95"/>
  <c r="B164" i="95"/>
  <c r="B155" i="95"/>
  <c r="C146" i="95"/>
  <c r="B146" i="95"/>
  <c r="C142" i="95"/>
  <c r="B142" i="95"/>
  <c r="B141" i="95"/>
  <c r="C141" i="95"/>
  <c r="B122" i="95"/>
  <c r="O49" i="90"/>
  <c r="N48" i="90"/>
  <c r="N47" i="90"/>
  <c r="N46" i="90"/>
  <c r="O45" i="90"/>
  <c r="N45" i="90"/>
  <c r="M45" i="90"/>
  <c r="L45" i="90"/>
  <c r="K45" i="90"/>
  <c r="J45" i="90"/>
  <c r="I45" i="90"/>
  <c r="H45" i="90"/>
  <c r="G45" i="90"/>
  <c r="F45" i="90"/>
  <c r="E45" i="90"/>
  <c r="D45" i="90"/>
  <c r="C45" i="90"/>
  <c r="B45" i="90"/>
  <c r="N44" i="90"/>
  <c r="N43" i="90"/>
  <c r="N42" i="90"/>
  <c r="N41" i="90"/>
  <c r="N40" i="90"/>
  <c r="N39" i="90"/>
  <c r="N38" i="90"/>
  <c r="N37" i="90"/>
  <c r="N36" i="90"/>
  <c r="O35" i="90"/>
  <c r="N35" i="90"/>
  <c r="M35" i="90"/>
  <c r="L35" i="90"/>
  <c r="K35" i="90"/>
  <c r="J35" i="90"/>
  <c r="I35" i="90"/>
  <c r="H35" i="90"/>
  <c r="G35" i="90"/>
  <c r="F35" i="90"/>
  <c r="E35" i="90"/>
  <c r="D35" i="90"/>
  <c r="C35" i="90"/>
  <c r="B35" i="90"/>
  <c r="N34" i="90"/>
  <c r="N33" i="90"/>
  <c r="N32" i="90"/>
  <c r="O29" i="90"/>
  <c r="M29" i="90"/>
  <c r="L29" i="90"/>
  <c r="K29" i="90"/>
  <c r="K21" i="90" s="1"/>
  <c r="K49" i="90" s="1"/>
  <c r="J29" i="90"/>
  <c r="I29" i="90"/>
  <c r="H29" i="90"/>
  <c r="H21" i="90" s="1"/>
  <c r="H49" i="90" s="1"/>
  <c r="G29" i="90"/>
  <c r="F29" i="90"/>
  <c r="F21" i="90" s="1"/>
  <c r="F49" i="90" s="1"/>
  <c r="E29" i="90"/>
  <c r="D29" i="90"/>
  <c r="C29" i="90"/>
  <c r="C21" i="90" s="1"/>
  <c r="C49" i="90" s="1"/>
  <c r="B29" i="90"/>
  <c r="B21" i="90" s="1"/>
  <c r="N28" i="90"/>
  <c r="N27" i="90"/>
  <c r="N26" i="90"/>
  <c r="N25" i="90"/>
  <c r="N24" i="90"/>
  <c r="N23" i="90"/>
  <c r="O22" i="90"/>
  <c r="N22" i="90"/>
  <c r="M22" i="90"/>
  <c r="L22" i="90"/>
  <c r="K22" i="90"/>
  <c r="J22" i="90"/>
  <c r="I22" i="90"/>
  <c r="H22" i="90"/>
  <c r="G22" i="90"/>
  <c r="F22" i="90"/>
  <c r="E22" i="90"/>
  <c r="D22" i="90"/>
  <c r="C22" i="90"/>
  <c r="B22" i="90"/>
  <c r="O21" i="90"/>
  <c r="M21" i="90"/>
  <c r="M49" i="90" s="1"/>
  <c r="L21" i="90"/>
  <c r="L49" i="90" s="1"/>
  <c r="J21" i="90"/>
  <c r="J49" i="90" s="1"/>
  <c r="I21" i="90"/>
  <c r="I49" i="90" s="1"/>
  <c r="G21" i="90"/>
  <c r="G49" i="90" s="1"/>
  <c r="E21" i="90"/>
  <c r="E49" i="90" s="1"/>
  <c r="D21" i="90"/>
  <c r="D49" i="90" s="1"/>
  <c r="N30" i="90"/>
  <c r="N31" i="90"/>
  <c r="K320" i="6"/>
  <c r="G320" i="6"/>
  <c r="L319" i="6"/>
  <c r="I319" i="6"/>
  <c r="H319" i="6"/>
  <c r="E319" i="6"/>
  <c r="D319" i="6"/>
  <c r="C319" i="6"/>
  <c r="B319" i="6"/>
  <c r="K318" i="6"/>
  <c r="G318" i="6"/>
  <c r="K317" i="6"/>
  <c r="G317" i="6"/>
  <c r="K316" i="6"/>
  <c r="G316" i="6"/>
  <c r="K315" i="6"/>
  <c r="G315" i="6"/>
  <c r="K314" i="6"/>
  <c r="G314" i="6"/>
  <c r="G313" i="6" s="1"/>
  <c r="L313" i="6"/>
  <c r="I313" i="6"/>
  <c r="H313" i="6"/>
  <c r="E313" i="6"/>
  <c r="D313" i="6"/>
  <c r="C313" i="6"/>
  <c r="B313" i="6"/>
  <c r="K312" i="6"/>
  <c r="G312" i="6"/>
  <c r="K311" i="6"/>
  <c r="G311" i="6"/>
  <c r="K310" i="6"/>
  <c r="G310" i="6"/>
  <c r="K309" i="6"/>
  <c r="G309" i="6"/>
  <c r="G308" i="6" s="1"/>
  <c r="L308" i="6"/>
  <c r="I308" i="6"/>
  <c r="H308" i="6"/>
  <c r="E308" i="6"/>
  <c r="D308" i="6"/>
  <c r="C308" i="6"/>
  <c r="B308" i="6"/>
  <c r="K307" i="6"/>
  <c r="G307" i="6"/>
  <c r="K306" i="6"/>
  <c r="G306" i="6"/>
  <c r="K305" i="6"/>
  <c r="G305" i="6"/>
  <c r="K304" i="6"/>
  <c r="G304" i="6"/>
  <c r="K303" i="6"/>
  <c r="G303" i="6"/>
  <c r="K302" i="6"/>
  <c r="G302" i="6"/>
  <c r="K301" i="6"/>
  <c r="G301" i="6"/>
  <c r="K80" i="6"/>
  <c r="G80" i="6"/>
  <c r="L54" i="6"/>
  <c r="I54" i="6"/>
  <c r="H54" i="6"/>
  <c r="E54" i="6"/>
  <c r="D54" i="6"/>
  <c r="C54" i="6"/>
  <c r="B54" i="6"/>
  <c r="K53" i="6"/>
  <c r="G53" i="6"/>
  <c r="K52" i="6"/>
  <c r="G52" i="6"/>
  <c r="K51" i="6"/>
  <c r="G51" i="6"/>
  <c r="K50" i="6"/>
  <c r="G50" i="6"/>
  <c r="K49" i="6"/>
  <c r="K48" i="6" s="1"/>
  <c r="G49" i="6"/>
  <c r="G48" i="6" s="1"/>
  <c r="L48" i="6"/>
  <c r="I48" i="6"/>
  <c r="H48" i="6"/>
  <c r="E48" i="6"/>
  <c r="D48" i="6"/>
  <c r="C48" i="6"/>
  <c r="B48" i="6"/>
  <c r="K47" i="6"/>
  <c r="G47" i="6"/>
  <c r="K46" i="6"/>
  <c r="G46" i="6"/>
  <c r="K45" i="6"/>
  <c r="G45" i="6"/>
  <c r="K44" i="6"/>
  <c r="G44" i="6"/>
  <c r="K43" i="6"/>
  <c r="G43" i="6"/>
  <c r="K42" i="6"/>
  <c r="G42" i="6"/>
  <c r="K41" i="6"/>
  <c r="G41" i="6"/>
  <c r="K40" i="6"/>
  <c r="G40" i="6"/>
  <c r="K39" i="6"/>
  <c r="G39" i="6"/>
  <c r="K38" i="6"/>
  <c r="G38" i="6"/>
  <c r="K37" i="6"/>
  <c r="K35" i="6" s="1"/>
  <c r="G37" i="6"/>
  <c r="G35" i="6" s="1"/>
  <c r="K36" i="6"/>
  <c r="G36" i="6"/>
  <c r="L35" i="6"/>
  <c r="I35" i="6"/>
  <c r="H35" i="6"/>
  <c r="E35" i="6"/>
  <c r="D35" i="6"/>
  <c r="C35" i="6"/>
  <c r="B35" i="6"/>
  <c r="K300" i="6"/>
  <c r="G300" i="6"/>
  <c r="K299" i="6"/>
  <c r="G299" i="6"/>
  <c r="K298" i="6"/>
  <c r="G298" i="6"/>
  <c r="G297" i="6" s="1"/>
  <c r="L297" i="6"/>
  <c r="I297" i="6"/>
  <c r="H297" i="6"/>
  <c r="E297" i="6"/>
  <c r="D297" i="6"/>
  <c r="C297" i="6"/>
  <c r="B297" i="6"/>
  <c r="K296" i="6"/>
  <c r="G296" i="6"/>
  <c r="K295" i="6"/>
  <c r="G295" i="6"/>
  <c r="K294" i="6"/>
  <c r="G294" i="6"/>
  <c r="K293" i="6"/>
  <c r="G293" i="6"/>
  <c r="K292" i="6"/>
  <c r="K290" i="6" s="1"/>
  <c r="G292" i="6"/>
  <c r="K291" i="6"/>
  <c r="G291" i="6"/>
  <c r="L290" i="6"/>
  <c r="I290" i="6"/>
  <c r="H290" i="6"/>
  <c r="E290" i="6"/>
  <c r="D290" i="6"/>
  <c r="C290" i="6"/>
  <c r="B290" i="6"/>
  <c r="K289" i="6"/>
  <c r="G289" i="6"/>
  <c r="K288" i="6"/>
  <c r="G288" i="6"/>
  <c r="K287" i="6"/>
  <c r="G287" i="6"/>
  <c r="K286" i="6"/>
  <c r="G286" i="6"/>
  <c r="K285" i="6"/>
  <c r="G285" i="6"/>
  <c r="K284" i="6"/>
  <c r="G284" i="6"/>
  <c r="K283" i="6"/>
  <c r="G283" i="6"/>
  <c r="G281" i="6" s="1"/>
  <c r="K282" i="6"/>
  <c r="G282" i="6"/>
  <c r="L281" i="6"/>
  <c r="I281" i="6"/>
  <c r="H281" i="6"/>
  <c r="E281" i="6"/>
  <c r="D281" i="6"/>
  <c r="C281" i="6"/>
  <c r="B281" i="6"/>
  <c r="K408" i="6"/>
  <c r="G408" i="6"/>
  <c r="K407" i="6"/>
  <c r="G407" i="6"/>
  <c r="K406" i="6"/>
  <c r="G406" i="6"/>
  <c r="K405" i="6"/>
  <c r="G405" i="6"/>
  <c r="L404" i="6"/>
  <c r="I404" i="6"/>
  <c r="H404" i="6"/>
  <c r="E404" i="6"/>
  <c r="D404" i="6"/>
  <c r="C404" i="6"/>
  <c r="B404" i="6"/>
  <c r="K403" i="6"/>
  <c r="G403" i="6"/>
  <c r="K402" i="6"/>
  <c r="G402" i="6"/>
  <c r="K401" i="6"/>
  <c r="G401" i="6"/>
  <c r="K400" i="6"/>
  <c r="G400" i="6"/>
  <c r="K399" i="6"/>
  <c r="G399" i="6"/>
  <c r="G398" i="6" s="1"/>
  <c r="L398" i="6"/>
  <c r="I398" i="6"/>
  <c r="H398" i="6"/>
  <c r="E398" i="6"/>
  <c r="D398" i="6"/>
  <c r="C398" i="6"/>
  <c r="B398" i="6"/>
  <c r="K397" i="6"/>
  <c r="G397" i="6"/>
  <c r="K396" i="6"/>
  <c r="G396" i="6"/>
  <c r="K395" i="6"/>
  <c r="G395" i="6"/>
  <c r="K394" i="6"/>
  <c r="G394" i="6"/>
  <c r="K393" i="6"/>
  <c r="G393" i="6"/>
  <c r="K392" i="6"/>
  <c r="G392" i="6"/>
  <c r="K391" i="6"/>
  <c r="G391" i="6"/>
  <c r="L390" i="6"/>
  <c r="I390" i="6"/>
  <c r="H390" i="6"/>
  <c r="E390" i="6"/>
  <c r="D390" i="6"/>
  <c r="C390" i="6"/>
  <c r="B390" i="6"/>
  <c r="K70" i="6"/>
  <c r="G70" i="6"/>
  <c r="K69" i="6"/>
  <c r="G69" i="6"/>
  <c r="K68" i="6"/>
  <c r="G68" i="6"/>
  <c r="K67" i="6"/>
  <c r="G67" i="6"/>
  <c r="K66" i="6"/>
  <c r="G66" i="6"/>
  <c r="L65" i="6"/>
  <c r="I65" i="6"/>
  <c r="H65" i="6"/>
  <c r="E65" i="6"/>
  <c r="D65" i="6"/>
  <c r="C65" i="6"/>
  <c r="B65" i="6"/>
  <c r="K64" i="6"/>
  <c r="G64" i="6"/>
  <c r="K63" i="6"/>
  <c r="G63" i="6"/>
  <c r="K211" i="6"/>
  <c r="G211" i="6"/>
  <c r="K210" i="6"/>
  <c r="G210" i="6"/>
  <c r="K209" i="6"/>
  <c r="G209" i="6"/>
  <c r="K208" i="6"/>
  <c r="G208" i="6"/>
  <c r="K207" i="6"/>
  <c r="G207" i="6"/>
  <c r="K206" i="6"/>
  <c r="G206" i="6"/>
  <c r="K205" i="6"/>
  <c r="G205" i="6"/>
  <c r="K204" i="6"/>
  <c r="G204" i="6"/>
  <c r="K203" i="6"/>
  <c r="G203" i="6"/>
  <c r="G202" i="6" s="1"/>
  <c r="L202" i="6"/>
  <c r="I202" i="6"/>
  <c r="H202" i="6"/>
  <c r="E202" i="6"/>
  <c r="D202" i="6"/>
  <c r="C202" i="6"/>
  <c r="B202" i="6"/>
  <c r="K201" i="6"/>
  <c r="G201" i="6"/>
  <c r="K200" i="6"/>
  <c r="G200" i="6"/>
  <c r="K199" i="6"/>
  <c r="G199" i="6"/>
  <c r="K198" i="6"/>
  <c r="K196" i="6" s="1"/>
  <c r="G198" i="6"/>
  <c r="K197" i="6"/>
  <c r="G197" i="6"/>
  <c r="L196" i="6"/>
  <c r="I196" i="6"/>
  <c r="H196" i="6"/>
  <c r="E196" i="6"/>
  <c r="D196" i="6"/>
  <c r="C196" i="6"/>
  <c r="B196" i="6"/>
  <c r="K195" i="6"/>
  <c r="G195" i="6"/>
  <c r="K174" i="6"/>
  <c r="G174" i="6"/>
  <c r="K173" i="6"/>
  <c r="G173" i="6"/>
  <c r="K172" i="6"/>
  <c r="G172" i="6"/>
  <c r="K171" i="6"/>
  <c r="G171" i="6"/>
  <c r="K170" i="6"/>
  <c r="G170" i="6"/>
  <c r="K169" i="6"/>
  <c r="G169" i="6"/>
  <c r="L168" i="6"/>
  <c r="I168" i="6"/>
  <c r="H168" i="6"/>
  <c r="E168" i="6"/>
  <c r="D168" i="6"/>
  <c r="C168" i="6"/>
  <c r="B168" i="6"/>
  <c r="K167" i="6"/>
  <c r="G167" i="6"/>
  <c r="K166" i="6"/>
  <c r="G166" i="6"/>
  <c r="K165" i="6"/>
  <c r="G165" i="6"/>
  <c r="K164" i="6"/>
  <c r="G164" i="6"/>
  <c r="K163" i="6"/>
  <c r="G163" i="6"/>
  <c r="K162" i="6"/>
  <c r="K160" i="6" s="1"/>
  <c r="G162" i="6"/>
  <c r="G160" i="6" s="1"/>
  <c r="K161" i="6"/>
  <c r="G161" i="6"/>
  <c r="L160" i="6"/>
  <c r="I160" i="6"/>
  <c r="H160" i="6"/>
  <c r="E160" i="6"/>
  <c r="D160" i="6"/>
  <c r="C160" i="6"/>
  <c r="B160" i="6"/>
  <c r="K159" i="6"/>
  <c r="G159" i="6"/>
  <c r="K158" i="6"/>
  <c r="G158" i="6"/>
  <c r="K157" i="6"/>
  <c r="G157" i="6"/>
  <c r="G155" i="6" s="1"/>
  <c r="K156" i="6"/>
  <c r="G156" i="6"/>
  <c r="L155" i="6"/>
  <c r="I155" i="6"/>
  <c r="H155" i="6"/>
  <c r="E155" i="6"/>
  <c r="D155" i="6"/>
  <c r="C155" i="6"/>
  <c r="B155" i="6"/>
  <c r="K115" i="6"/>
  <c r="G115" i="6"/>
  <c r="K114" i="6"/>
  <c r="G114" i="6"/>
  <c r="K113" i="6"/>
  <c r="G113" i="6"/>
  <c r="K112" i="6"/>
  <c r="G112" i="6"/>
  <c r="L111" i="6"/>
  <c r="I111" i="6"/>
  <c r="H111" i="6"/>
  <c r="E111" i="6"/>
  <c r="D111" i="6"/>
  <c r="C111" i="6"/>
  <c r="B111" i="6"/>
  <c r="K110" i="6"/>
  <c r="G110" i="6"/>
  <c r="K109" i="6"/>
  <c r="G109" i="6"/>
  <c r="K108" i="6"/>
  <c r="G108" i="6"/>
  <c r="K107" i="6"/>
  <c r="K106" i="6" s="1"/>
  <c r="G107" i="6"/>
  <c r="L106" i="6"/>
  <c r="I106" i="6"/>
  <c r="H106" i="6"/>
  <c r="E106" i="6"/>
  <c r="D106" i="6"/>
  <c r="C106" i="6"/>
  <c r="B106" i="6"/>
  <c r="K105" i="6"/>
  <c r="G105" i="6"/>
  <c r="K104" i="6"/>
  <c r="G104" i="6"/>
  <c r="K103" i="6"/>
  <c r="G103" i="6"/>
  <c r="K102" i="6"/>
  <c r="G102" i="6"/>
  <c r="K389" i="6"/>
  <c r="G389" i="6"/>
  <c r="K388" i="6"/>
  <c r="G388" i="6"/>
  <c r="K387" i="6"/>
  <c r="G387" i="6"/>
  <c r="K386" i="6"/>
  <c r="G386" i="6"/>
  <c r="K385" i="6"/>
  <c r="G385" i="6"/>
  <c r="K384" i="6"/>
  <c r="G384" i="6"/>
  <c r="L383" i="6"/>
  <c r="I383" i="6"/>
  <c r="H383" i="6"/>
  <c r="G383" i="6"/>
  <c r="E383" i="6"/>
  <c r="D383" i="6"/>
  <c r="C383" i="6"/>
  <c r="B383" i="6"/>
  <c r="K382" i="6"/>
  <c r="G382" i="6"/>
  <c r="K381" i="6"/>
  <c r="G381" i="6"/>
  <c r="K380" i="6"/>
  <c r="G380" i="6"/>
  <c r="K379" i="6"/>
  <c r="G379" i="6"/>
  <c r="G378" i="6" s="1"/>
  <c r="L378" i="6"/>
  <c r="I378" i="6"/>
  <c r="H378" i="6"/>
  <c r="E378" i="6"/>
  <c r="D378" i="6"/>
  <c r="C378" i="6"/>
  <c r="B378" i="6"/>
  <c r="K377" i="6"/>
  <c r="G377" i="6"/>
  <c r="K376" i="6"/>
  <c r="G376" i="6"/>
  <c r="K375" i="6"/>
  <c r="G375" i="6"/>
  <c r="K374" i="6"/>
  <c r="G374" i="6"/>
  <c r="K373" i="6"/>
  <c r="G373" i="6"/>
  <c r="K372" i="6"/>
  <c r="G372" i="6"/>
  <c r="K371" i="6"/>
  <c r="G371" i="6"/>
  <c r="L370" i="6"/>
  <c r="I370" i="6"/>
  <c r="H370" i="6"/>
  <c r="E370" i="6"/>
  <c r="D370" i="6"/>
  <c r="C370" i="6"/>
  <c r="B370" i="6"/>
  <c r="K369" i="6"/>
  <c r="G369" i="6"/>
  <c r="K194" i="6"/>
  <c r="G194" i="6"/>
  <c r="K193" i="6"/>
  <c r="G193" i="6"/>
  <c r="K192" i="6"/>
  <c r="G192" i="6"/>
  <c r="K191" i="6"/>
  <c r="G191" i="6"/>
  <c r="K190" i="6"/>
  <c r="G190" i="6"/>
  <c r="K189" i="6"/>
  <c r="G189" i="6"/>
  <c r="L188" i="6"/>
  <c r="I188" i="6"/>
  <c r="H188" i="6"/>
  <c r="E188" i="6"/>
  <c r="D188" i="6"/>
  <c r="C188" i="6"/>
  <c r="B188" i="6"/>
  <c r="K187" i="6"/>
  <c r="G187" i="6"/>
  <c r="K186" i="6"/>
  <c r="G186" i="6"/>
  <c r="K185" i="6"/>
  <c r="G185" i="6"/>
  <c r="K184" i="6"/>
  <c r="G184" i="6"/>
  <c r="K183" i="6"/>
  <c r="G183" i="6"/>
  <c r="K182" i="6"/>
  <c r="G182" i="6"/>
  <c r="L181" i="6"/>
  <c r="I181" i="6"/>
  <c r="H181" i="6"/>
  <c r="E181" i="6"/>
  <c r="D181" i="6"/>
  <c r="C181" i="6"/>
  <c r="B181" i="6"/>
  <c r="K180" i="6"/>
  <c r="G180" i="6"/>
  <c r="K179" i="6"/>
  <c r="G179" i="6"/>
  <c r="K178" i="6"/>
  <c r="G178" i="6"/>
  <c r="K177" i="6"/>
  <c r="G177" i="6"/>
  <c r="L176" i="6"/>
  <c r="I176" i="6"/>
  <c r="H176" i="6"/>
  <c r="E176" i="6"/>
  <c r="D176" i="6"/>
  <c r="C176" i="6"/>
  <c r="B176" i="6"/>
  <c r="K175" i="6"/>
  <c r="G175" i="6"/>
  <c r="G168" i="6" s="1"/>
  <c r="L256" i="6"/>
  <c r="I256" i="6"/>
  <c r="H256" i="6"/>
  <c r="E256" i="6"/>
  <c r="D256" i="6"/>
  <c r="C256" i="6"/>
  <c r="B256" i="6"/>
  <c r="K255" i="6"/>
  <c r="G255" i="6"/>
  <c r="K254" i="6"/>
  <c r="G254" i="6"/>
  <c r="K253" i="6"/>
  <c r="G253" i="6"/>
  <c r="K252" i="6"/>
  <c r="G252" i="6"/>
  <c r="G250" i="6" s="1"/>
  <c r="K251" i="6"/>
  <c r="K250" i="6" s="1"/>
  <c r="G251" i="6"/>
  <c r="L250" i="6"/>
  <c r="I250" i="6"/>
  <c r="H250" i="6"/>
  <c r="E250" i="6"/>
  <c r="D250" i="6"/>
  <c r="C250" i="6"/>
  <c r="B250" i="6"/>
  <c r="K249" i="6"/>
  <c r="G249" i="6"/>
  <c r="K248" i="6"/>
  <c r="G248" i="6"/>
  <c r="K247" i="6"/>
  <c r="G247" i="6"/>
  <c r="K246" i="6"/>
  <c r="G246" i="6"/>
  <c r="K245" i="6"/>
  <c r="G245" i="6"/>
  <c r="K244" i="6"/>
  <c r="G244" i="6"/>
  <c r="K243" i="6"/>
  <c r="G243" i="6"/>
  <c r="K242" i="6"/>
  <c r="G242" i="6"/>
  <c r="K241" i="6"/>
  <c r="G241" i="6"/>
  <c r="K240" i="6"/>
  <c r="G240" i="6"/>
  <c r="K239" i="6"/>
  <c r="G239" i="6"/>
  <c r="K238" i="6"/>
  <c r="G238" i="6"/>
  <c r="L237" i="6"/>
  <c r="I237" i="6"/>
  <c r="H237" i="6"/>
  <c r="G237" i="6"/>
  <c r="E237" i="6"/>
  <c r="D237" i="6"/>
  <c r="C237" i="6"/>
  <c r="B237" i="6"/>
  <c r="K236" i="6"/>
  <c r="G236" i="6"/>
  <c r="K154" i="6"/>
  <c r="G154" i="6"/>
  <c r="K153" i="6"/>
  <c r="G153" i="6"/>
  <c r="K152" i="6"/>
  <c r="G152" i="6"/>
  <c r="K151" i="6"/>
  <c r="G151" i="6"/>
  <c r="K150" i="6"/>
  <c r="G150" i="6"/>
  <c r="K149" i="6"/>
  <c r="G149" i="6"/>
  <c r="K148" i="6"/>
  <c r="K147" i="6" s="1"/>
  <c r="G148" i="6"/>
  <c r="L147" i="6"/>
  <c r="I147" i="6"/>
  <c r="H147" i="6"/>
  <c r="E147" i="6"/>
  <c r="D147" i="6"/>
  <c r="C147" i="6"/>
  <c r="B147" i="6"/>
  <c r="K146" i="6"/>
  <c r="G146" i="6"/>
  <c r="K145" i="6"/>
  <c r="G145" i="6"/>
  <c r="K144" i="6"/>
  <c r="G144" i="6"/>
  <c r="K143" i="6"/>
  <c r="G143" i="6"/>
  <c r="G141" i="6" s="1"/>
  <c r="K142" i="6"/>
  <c r="G142" i="6"/>
  <c r="L141" i="6"/>
  <c r="I141" i="6"/>
  <c r="H141" i="6"/>
  <c r="E141" i="6"/>
  <c r="D141" i="6"/>
  <c r="C141" i="6"/>
  <c r="B141" i="6"/>
  <c r="K140" i="6"/>
  <c r="G140" i="6"/>
  <c r="K139" i="6"/>
  <c r="G139" i="6"/>
  <c r="K138" i="6"/>
  <c r="G138" i="6"/>
  <c r="K137" i="6"/>
  <c r="G137" i="6"/>
  <c r="K136" i="6"/>
  <c r="G136" i="6"/>
  <c r="K135" i="6"/>
  <c r="G135" i="6"/>
  <c r="K134" i="6"/>
  <c r="G134" i="6"/>
  <c r="L133" i="6"/>
  <c r="I133" i="6"/>
  <c r="H133" i="6"/>
  <c r="E133" i="6"/>
  <c r="D133" i="6"/>
  <c r="C133" i="6"/>
  <c r="B133" i="6"/>
  <c r="K132" i="6"/>
  <c r="G132" i="6"/>
  <c r="K131" i="6"/>
  <c r="G131" i="6"/>
  <c r="K130" i="6"/>
  <c r="G130" i="6"/>
  <c r="G128" i="6" s="1"/>
  <c r="K129" i="6"/>
  <c r="G129" i="6"/>
  <c r="L128" i="6"/>
  <c r="I128" i="6"/>
  <c r="H128" i="6"/>
  <c r="E128" i="6"/>
  <c r="D128" i="6"/>
  <c r="C128" i="6"/>
  <c r="B128" i="6"/>
  <c r="K127" i="6"/>
  <c r="G127" i="6"/>
  <c r="K126" i="6"/>
  <c r="G126" i="6"/>
  <c r="K125" i="6"/>
  <c r="G125" i="6"/>
  <c r="K124" i="6"/>
  <c r="G124" i="6"/>
  <c r="L123" i="6"/>
  <c r="I123" i="6"/>
  <c r="H123" i="6"/>
  <c r="E123" i="6"/>
  <c r="D123" i="6"/>
  <c r="C123" i="6"/>
  <c r="B123" i="6"/>
  <c r="K122" i="6"/>
  <c r="G122" i="6"/>
  <c r="K121" i="6"/>
  <c r="G121" i="6"/>
  <c r="K120" i="6"/>
  <c r="G120" i="6"/>
  <c r="K119" i="6"/>
  <c r="G119" i="6"/>
  <c r="G117" i="6" s="1"/>
  <c r="K118" i="6"/>
  <c r="G118" i="6"/>
  <c r="L117" i="6"/>
  <c r="I117" i="6"/>
  <c r="H117" i="6"/>
  <c r="E117" i="6"/>
  <c r="D117" i="6"/>
  <c r="C117" i="6"/>
  <c r="B117" i="6"/>
  <c r="K116" i="6"/>
  <c r="G116" i="6"/>
  <c r="K78" i="6"/>
  <c r="G78" i="6"/>
  <c r="K77" i="6"/>
  <c r="G77" i="6"/>
  <c r="K76" i="6"/>
  <c r="G76" i="6"/>
  <c r="K75" i="6"/>
  <c r="G75" i="6"/>
  <c r="K74" i="6"/>
  <c r="G74" i="6"/>
  <c r="K73" i="6"/>
  <c r="G73" i="6"/>
  <c r="L72" i="6"/>
  <c r="I72" i="6"/>
  <c r="H72" i="6"/>
  <c r="E72" i="6"/>
  <c r="D72" i="6"/>
  <c r="C72" i="6"/>
  <c r="B72" i="6"/>
  <c r="K71" i="6"/>
  <c r="G71" i="6"/>
  <c r="K34" i="6"/>
  <c r="G34" i="6"/>
  <c r="K33" i="6"/>
  <c r="G33" i="6"/>
  <c r="K32" i="6"/>
  <c r="G32" i="6"/>
  <c r="K31" i="6"/>
  <c r="K30" i="6" s="1"/>
  <c r="G31" i="6"/>
  <c r="L30" i="6"/>
  <c r="I30" i="6"/>
  <c r="H30" i="6"/>
  <c r="E30" i="6"/>
  <c r="D30" i="6"/>
  <c r="C30" i="6"/>
  <c r="B30" i="6"/>
  <c r="K29" i="6"/>
  <c r="G29" i="6"/>
  <c r="K28" i="6"/>
  <c r="G28" i="6"/>
  <c r="K27" i="6"/>
  <c r="G27" i="6"/>
  <c r="K26" i="6"/>
  <c r="G26" i="6"/>
  <c r="G25" i="6" s="1"/>
  <c r="L25" i="6"/>
  <c r="I25" i="6"/>
  <c r="H25" i="6"/>
  <c r="E25" i="6"/>
  <c r="D25" i="6"/>
  <c r="C25" i="6"/>
  <c r="B25" i="6"/>
  <c r="K24" i="6"/>
  <c r="G24" i="6"/>
  <c r="K23" i="6"/>
  <c r="G23" i="6"/>
  <c r="K22" i="6"/>
  <c r="G22" i="6"/>
  <c r="K21" i="6"/>
  <c r="G21" i="6"/>
  <c r="G20" i="6" s="1"/>
  <c r="L20" i="6"/>
  <c r="I20" i="6"/>
  <c r="H20" i="6"/>
  <c r="E20" i="6"/>
  <c r="D20" i="6"/>
  <c r="C20" i="6"/>
  <c r="B20" i="6"/>
  <c r="L79" i="6"/>
  <c r="I79" i="6"/>
  <c r="H79" i="6"/>
  <c r="E79" i="6"/>
  <c r="D79" i="6"/>
  <c r="C79" i="6"/>
  <c r="B79" i="6"/>
  <c r="L262" i="6"/>
  <c r="I262" i="6"/>
  <c r="H262" i="6"/>
  <c r="E262" i="6"/>
  <c r="D262" i="6"/>
  <c r="C262" i="6"/>
  <c r="B262" i="6"/>
  <c r="K261" i="6"/>
  <c r="G261" i="6"/>
  <c r="K260" i="6"/>
  <c r="G260" i="6"/>
  <c r="K259" i="6"/>
  <c r="G259" i="6"/>
  <c r="K258" i="6"/>
  <c r="G258" i="6"/>
  <c r="G256" i="6" s="1"/>
  <c r="K257" i="6"/>
  <c r="G257" i="6"/>
  <c r="K351" i="6"/>
  <c r="G351" i="6"/>
  <c r="K350" i="6"/>
  <c r="G350" i="6"/>
  <c r="L349" i="6"/>
  <c r="I349" i="6"/>
  <c r="H349" i="6"/>
  <c r="E349" i="6"/>
  <c r="D349" i="6"/>
  <c r="C349" i="6"/>
  <c r="B349" i="6"/>
  <c r="K348" i="6"/>
  <c r="G348" i="6"/>
  <c r="K347" i="6"/>
  <c r="G347" i="6"/>
  <c r="K346" i="6"/>
  <c r="G346" i="6"/>
  <c r="K345" i="6"/>
  <c r="G345" i="6"/>
  <c r="K344" i="6"/>
  <c r="G344" i="6"/>
  <c r="L343" i="6"/>
  <c r="I343" i="6"/>
  <c r="H343" i="6"/>
  <c r="E343" i="6"/>
  <c r="D343" i="6"/>
  <c r="C343" i="6"/>
  <c r="B343" i="6"/>
  <c r="K342" i="6"/>
  <c r="G342" i="6"/>
  <c r="K341" i="6"/>
  <c r="G341" i="6"/>
  <c r="K340" i="6"/>
  <c r="G340" i="6"/>
  <c r="K339" i="6"/>
  <c r="G339" i="6"/>
  <c r="K338" i="6"/>
  <c r="G338" i="6"/>
  <c r="K337" i="6"/>
  <c r="G337" i="6"/>
  <c r="K336" i="6"/>
  <c r="K335" i="6" s="1"/>
  <c r="G336" i="6"/>
  <c r="L335" i="6"/>
  <c r="I335" i="6"/>
  <c r="H335" i="6"/>
  <c r="E335" i="6"/>
  <c r="D335" i="6"/>
  <c r="C335" i="6"/>
  <c r="B335" i="6"/>
  <c r="K334" i="6"/>
  <c r="G334" i="6"/>
  <c r="K333" i="6"/>
  <c r="G333" i="6"/>
  <c r="K332" i="6"/>
  <c r="G332" i="6"/>
  <c r="K331" i="6"/>
  <c r="G331" i="6"/>
  <c r="L330" i="6"/>
  <c r="I330" i="6"/>
  <c r="H330" i="6"/>
  <c r="E330" i="6"/>
  <c r="D330" i="6"/>
  <c r="C330" i="6"/>
  <c r="B330" i="6"/>
  <c r="K329" i="6"/>
  <c r="G329" i="6"/>
  <c r="K328" i="6"/>
  <c r="G328" i="6"/>
  <c r="K327" i="6"/>
  <c r="K325" i="6" s="1"/>
  <c r="G327" i="6"/>
  <c r="K326" i="6"/>
  <c r="G326" i="6"/>
  <c r="L325" i="6"/>
  <c r="I325" i="6"/>
  <c r="H325" i="6"/>
  <c r="E325" i="6"/>
  <c r="D325" i="6"/>
  <c r="C325" i="6"/>
  <c r="B325" i="6"/>
  <c r="K324" i="6"/>
  <c r="G324" i="6"/>
  <c r="K323" i="6"/>
  <c r="G323" i="6"/>
  <c r="K322" i="6"/>
  <c r="G322" i="6"/>
  <c r="K93" i="6"/>
  <c r="G93" i="6"/>
  <c r="K92" i="6"/>
  <c r="G92" i="6"/>
  <c r="K91" i="6"/>
  <c r="G91" i="6"/>
  <c r="K90" i="6"/>
  <c r="G90" i="6"/>
  <c r="K89" i="6"/>
  <c r="G89" i="6"/>
  <c r="L88" i="6"/>
  <c r="I88" i="6"/>
  <c r="H88" i="6"/>
  <c r="E88" i="6"/>
  <c r="D88" i="6"/>
  <c r="C88" i="6"/>
  <c r="B88" i="6"/>
  <c r="K87" i="6"/>
  <c r="G87" i="6"/>
  <c r="K86" i="6"/>
  <c r="G86" i="6"/>
  <c r="K85" i="6"/>
  <c r="G85" i="6"/>
  <c r="K84" i="6"/>
  <c r="G84" i="6"/>
  <c r="K83" i="6"/>
  <c r="G83" i="6"/>
  <c r="K82" i="6"/>
  <c r="G82" i="6"/>
  <c r="K81" i="6"/>
  <c r="G81" i="6"/>
  <c r="K62" i="6"/>
  <c r="K60" i="6" s="1"/>
  <c r="G62" i="6"/>
  <c r="K61" i="6"/>
  <c r="G61" i="6"/>
  <c r="L60" i="6"/>
  <c r="I60" i="6"/>
  <c r="H60" i="6"/>
  <c r="E60" i="6"/>
  <c r="D60" i="6"/>
  <c r="C60" i="6"/>
  <c r="B60" i="6"/>
  <c r="K59" i="6"/>
  <c r="G59" i="6"/>
  <c r="K58" i="6"/>
  <c r="G58" i="6"/>
  <c r="K57" i="6"/>
  <c r="G57" i="6"/>
  <c r="K56" i="6"/>
  <c r="G56" i="6"/>
  <c r="K55" i="6"/>
  <c r="G55" i="6"/>
  <c r="K235" i="6"/>
  <c r="G235" i="6"/>
  <c r="K234" i="6"/>
  <c r="G234" i="6"/>
  <c r="G232" i="6" s="1"/>
  <c r="K233" i="6"/>
  <c r="G233" i="6"/>
  <c r="L232" i="6"/>
  <c r="I232" i="6"/>
  <c r="H232" i="6"/>
  <c r="E232" i="6"/>
  <c r="D232" i="6"/>
  <c r="C232" i="6"/>
  <c r="B232" i="6"/>
  <c r="K231" i="6"/>
  <c r="G231" i="6"/>
  <c r="K230" i="6"/>
  <c r="G230" i="6"/>
  <c r="K229" i="6"/>
  <c r="G229" i="6"/>
  <c r="G227" i="6" s="1"/>
  <c r="K228" i="6"/>
  <c r="G228" i="6"/>
  <c r="L227" i="6"/>
  <c r="I227" i="6"/>
  <c r="H227" i="6"/>
  <c r="E227" i="6"/>
  <c r="D227" i="6"/>
  <c r="C227" i="6"/>
  <c r="B227" i="6"/>
  <c r="K226" i="6"/>
  <c r="G226" i="6"/>
  <c r="K225" i="6"/>
  <c r="G225" i="6"/>
  <c r="K224" i="6"/>
  <c r="G224" i="6"/>
  <c r="G222" i="6" s="1"/>
  <c r="K223" i="6"/>
  <c r="G223" i="6"/>
  <c r="L222" i="6"/>
  <c r="I222" i="6"/>
  <c r="H222" i="6"/>
  <c r="E222" i="6"/>
  <c r="D222" i="6"/>
  <c r="C222" i="6"/>
  <c r="B222" i="6"/>
  <c r="K280" i="6"/>
  <c r="G280" i="6"/>
  <c r="K279" i="6"/>
  <c r="G279" i="6"/>
  <c r="K278" i="6"/>
  <c r="G278" i="6"/>
  <c r="K277" i="6"/>
  <c r="G277" i="6"/>
  <c r="K276" i="6"/>
  <c r="G276" i="6"/>
  <c r="K275" i="6"/>
  <c r="K274" i="6" s="1"/>
  <c r="G275" i="6"/>
  <c r="L274" i="6"/>
  <c r="I274" i="6"/>
  <c r="H274" i="6"/>
  <c r="E274" i="6"/>
  <c r="D274" i="6"/>
  <c r="C274" i="6"/>
  <c r="B274" i="6"/>
  <c r="K273" i="6"/>
  <c r="G273" i="6"/>
  <c r="K272" i="6"/>
  <c r="G272" i="6"/>
  <c r="K271" i="6"/>
  <c r="G271" i="6"/>
  <c r="K270" i="6"/>
  <c r="G270" i="6"/>
  <c r="K269" i="6"/>
  <c r="G269" i="6"/>
  <c r="K268" i="6"/>
  <c r="G268" i="6"/>
  <c r="L267" i="6"/>
  <c r="I267" i="6"/>
  <c r="H267" i="6"/>
  <c r="E267" i="6"/>
  <c r="D267" i="6"/>
  <c r="C267" i="6"/>
  <c r="B267" i="6"/>
  <c r="K266" i="6"/>
  <c r="G266" i="6"/>
  <c r="K412" i="6"/>
  <c r="G412" i="6"/>
  <c r="K411" i="6"/>
  <c r="G411" i="6"/>
  <c r="K410" i="6"/>
  <c r="G410" i="6"/>
  <c r="K409" i="6"/>
  <c r="G409" i="6"/>
  <c r="K368" i="6"/>
  <c r="G368" i="6"/>
  <c r="K367" i="6"/>
  <c r="G367" i="6"/>
  <c r="K366" i="6"/>
  <c r="G366" i="6"/>
  <c r="K365" i="6"/>
  <c r="G365" i="6"/>
  <c r="K364" i="6"/>
  <c r="G364" i="6"/>
  <c r="K363" i="6"/>
  <c r="G363" i="6"/>
  <c r="L362" i="6"/>
  <c r="I362" i="6"/>
  <c r="H362" i="6"/>
  <c r="E362" i="6"/>
  <c r="D362" i="6"/>
  <c r="C362" i="6"/>
  <c r="B362" i="6"/>
  <c r="K361" i="6"/>
  <c r="G361" i="6"/>
  <c r="K360" i="6"/>
  <c r="G360" i="6"/>
  <c r="K359" i="6"/>
  <c r="G359" i="6"/>
  <c r="K358" i="6"/>
  <c r="G358" i="6"/>
  <c r="L357" i="6"/>
  <c r="I357" i="6"/>
  <c r="H357" i="6"/>
  <c r="E357" i="6"/>
  <c r="D357" i="6"/>
  <c r="C357" i="6"/>
  <c r="B357" i="6"/>
  <c r="K356" i="6"/>
  <c r="G356" i="6"/>
  <c r="K355" i="6"/>
  <c r="G355" i="6"/>
  <c r="K354" i="6"/>
  <c r="G354" i="6"/>
  <c r="K353" i="6"/>
  <c r="G353" i="6"/>
  <c r="K352" i="6"/>
  <c r="G352" i="6"/>
  <c r="K321" i="6"/>
  <c r="G321" i="6"/>
  <c r="K265" i="6"/>
  <c r="G265" i="6"/>
  <c r="K264" i="6"/>
  <c r="G264" i="6"/>
  <c r="K263" i="6"/>
  <c r="G263" i="6"/>
  <c r="K96" i="6"/>
  <c r="G96" i="6"/>
  <c r="K94" i="6"/>
  <c r="G94" i="6"/>
  <c r="K101" i="6"/>
  <c r="G101" i="6"/>
  <c r="K100" i="6"/>
  <c r="G100" i="6"/>
  <c r="K99" i="6"/>
  <c r="G99" i="6"/>
  <c r="K98" i="6"/>
  <c r="G98" i="6"/>
  <c r="K97" i="6"/>
  <c r="G97" i="6"/>
  <c r="L95" i="6"/>
  <c r="I95" i="6"/>
  <c r="H95" i="6"/>
  <c r="E95" i="6"/>
  <c r="D95" i="6"/>
  <c r="C95" i="6"/>
  <c r="B95" i="6"/>
  <c r="H187" i="91"/>
  <c r="G187" i="91"/>
  <c r="E187" i="91"/>
  <c r="H186" i="91"/>
  <c r="G186" i="91"/>
  <c r="E186" i="91"/>
  <c r="H185" i="91"/>
  <c r="G185" i="91"/>
  <c r="F185" i="91"/>
  <c r="E185" i="91"/>
  <c r="D185" i="91"/>
  <c r="C185" i="91"/>
  <c r="B185" i="91"/>
  <c r="H184" i="91"/>
  <c r="G184" i="91"/>
  <c r="E184" i="91"/>
  <c r="H183" i="91"/>
  <c r="G183" i="91"/>
  <c r="E183" i="91"/>
  <c r="H182" i="91"/>
  <c r="G182" i="91"/>
  <c r="F182" i="91"/>
  <c r="E182" i="91"/>
  <c r="D182" i="91"/>
  <c r="C182" i="91"/>
  <c r="B182" i="91"/>
  <c r="D181" i="91"/>
  <c r="C181" i="91"/>
  <c r="E181" i="91"/>
  <c r="B181" i="91"/>
  <c r="H180" i="91"/>
  <c r="G180" i="91"/>
  <c r="E180" i="91"/>
  <c r="H179" i="91"/>
  <c r="G179" i="91"/>
  <c r="E179" i="91"/>
  <c r="H178" i="91"/>
  <c r="G178" i="91"/>
  <c r="E178" i="91"/>
  <c r="H177" i="91"/>
  <c r="G177" i="91"/>
  <c r="E177" i="91"/>
  <c r="H176" i="91"/>
  <c r="G176" i="91"/>
  <c r="F176" i="91"/>
  <c r="E176" i="91"/>
  <c r="D176" i="91"/>
  <c r="C176" i="91"/>
  <c r="B176" i="91"/>
  <c r="H175" i="91"/>
  <c r="G175" i="91"/>
  <c r="E175" i="91"/>
  <c r="H174" i="91"/>
  <c r="G174" i="91"/>
  <c r="E174" i="91"/>
  <c r="H173" i="91"/>
  <c r="G173" i="91"/>
  <c r="E173" i="91"/>
  <c r="H172" i="91"/>
  <c r="G172" i="91"/>
  <c r="E172" i="91"/>
  <c r="H171" i="91"/>
  <c r="G171" i="91"/>
  <c r="E171" i="91"/>
  <c r="H170" i="91"/>
  <c r="G170" i="91"/>
  <c r="E170" i="91"/>
  <c r="H169" i="91"/>
  <c r="G169" i="91"/>
  <c r="E169" i="91"/>
  <c r="H168" i="91"/>
  <c r="G168" i="91"/>
  <c r="E168" i="91"/>
  <c r="H167" i="91"/>
  <c r="G167" i="91"/>
  <c r="F167" i="91"/>
  <c r="E167" i="91"/>
  <c r="D167" i="91"/>
  <c r="C167" i="91"/>
  <c r="B167" i="91"/>
  <c r="H166" i="91"/>
  <c r="G166" i="91"/>
  <c r="E166" i="91"/>
  <c r="H165" i="91"/>
  <c r="G165" i="91"/>
  <c r="E165" i="91"/>
  <c r="H164" i="91"/>
  <c r="G164" i="91"/>
  <c r="E164" i="91"/>
  <c r="H163" i="91"/>
  <c r="G163" i="91"/>
  <c r="E163" i="91"/>
  <c r="H93" i="91"/>
  <c r="G93" i="91"/>
  <c r="E93" i="91"/>
  <c r="H92" i="91"/>
  <c r="G92" i="91"/>
  <c r="E92" i="91"/>
  <c r="H91" i="91"/>
  <c r="G91" i="91"/>
  <c r="F91" i="91"/>
  <c r="E91" i="91"/>
  <c r="D91" i="91"/>
  <c r="C91" i="91"/>
  <c r="B91" i="91"/>
  <c r="H90" i="91"/>
  <c r="G90" i="91"/>
  <c r="E90" i="91"/>
  <c r="H89" i="91"/>
  <c r="G89" i="91"/>
  <c r="E89" i="91"/>
  <c r="H88" i="91"/>
  <c r="G88" i="91"/>
  <c r="F88" i="91"/>
  <c r="E88" i="91"/>
  <c r="D88" i="91"/>
  <c r="C88" i="91"/>
  <c r="B88" i="91"/>
  <c r="H87" i="91"/>
  <c r="F87" i="91"/>
  <c r="D87" i="91"/>
  <c r="C87" i="91"/>
  <c r="E87" i="91"/>
  <c r="B87" i="91"/>
  <c r="H84" i="91"/>
  <c r="G84" i="91"/>
  <c r="E84" i="91"/>
  <c r="H83" i="91"/>
  <c r="G83" i="91"/>
  <c r="E83" i="91"/>
  <c r="H82" i="91"/>
  <c r="G82" i="91"/>
  <c r="E82" i="91"/>
  <c r="H81" i="91"/>
  <c r="G81" i="91"/>
  <c r="E81" i="91"/>
  <c r="H80" i="91"/>
  <c r="G80" i="91"/>
  <c r="F80" i="91"/>
  <c r="E80" i="91"/>
  <c r="D80" i="91"/>
  <c r="C80" i="91"/>
  <c r="B80" i="91"/>
  <c r="H79" i="91"/>
  <c r="G79" i="91"/>
  <c r="E79" i="91"/>
  <c r="H78" i="91"/>
  <c r="G78" i="91"/>
  <c r="E78" i="91"/>
  <c r="H77" i="91"/>
  <c r="G77" i="91"/>
  <c r="E77" i="91"/>
  <c r="H76" i="91"/>
  <c r="G76" i="91"/>
  <c r="E76" i="91"/>
  <c r="H75" i="91"/>
  <c r="G75" i="91"/>
  <c r="E75" i="91"/>
  <c r="H74" i="91"/>
  <c r="G74" i="91"/>
  <c r="E74" i="91"/>
  <c r="H73" i="91"/>
  <c r="G73" i="91"/>
  <c r="E73" i="91"/>
  <c r="H72" i="91"/>
  <c r="G72" i="91"/>
  <c r="E72" i="91"/>
  <c r="H71" i="91"/>
  <c r="G71" i="91"/>
  <c r="F71" i="91"/>
  <c r="E71" i="91"/>
  <c r="D71" i="91"/>
  <c r="C71" i="91"/>
  <c r="B71" i="91"/>
  <c r="H70" i="91"/>
  <c r="G70" i="91"/>
  <c r="E70" i="91"/>
  <c r="H69" i="91"/>
  <c r="G69" i="91"/>
  <c r="E69" i="91"/>
  <c r="H68" i="91"/>
  <c r="G68" i="91"/>
  <c r="E68" i="91"/>
  <c r="H67" i="91"/>
  <c r="G67" i="91"/>
  <c r="E67" i="91"/>
  <c r="H66" i="91"/>
  <c r="G66" i="91"/>
  <c r="F66" i="91"/>
  <c r="E66" i="91"/>
  <c r="D66" i="91"/>
  <c r="C66" i="91"/>
  <c r="B66" i="91"/>
  <c r="H65" i="91"/>
  <c r="G65" i="91"/>
  <c r="E65" i="91"/>
  <c r="H64" i="91"/>
  <c r="G64" i="91"/>
  <c r="E64" i="91"/>
  <c r="H63" i="91"/>
  <c r="G63" i="91"/>
  <c r="F63" i="91"/>
  <c r="F62" i="91"/>
  <c r="E63" i="91"/>
  <c r="D63" i="91"/>
  <c r="C63" i="91"/>
  <c r="B63" i="91"/>
  <c r="D62" i="91"/>
  <c r="C62" i="91"/>
  <c r="B62" i="91"/>
  <c r="H61" i="91"/>
  <c r="G61" i="91"/>
  <c r="E61" i="91"/>
  <c r="H60" i="91"/>
  <c r="G60" i="91"/>
  <c r="E60" i="91"/>
  <c r="H59" i="91"/>
  <c r="G59" i="91"/>
  <c r="E59" i="91"/>
  <c r="H58" i="91"/>
  <c r="G58" i="91"/>
  <c r="E58" i="91"/>
  <c r="H57" i="91"/>
  <c r="G57" i="91"/>
  <c r="F57" i="91"/>
  <c r="E57" i="91"/>
  <c r="D57" i="91"/>
  <c r="C57" i="91"/>
  <c r="C22" i="91"/>
  <c r="B57" i="91"/>
  <c r="H56" i="91"/>
  <c r="G56" i="91"/>
  <c r="E56" i="91"/>
  <c r="H55" i="91"/>
  <c r="G55" i="91"/>
  <c r="E55" i="91"/>
  <c r="H54" i="91"/>
  <c r="G54" i="91"/>
  <c r="E54" i="91"/>
  <c r="H53" i="91"/>
  <c r="G53" i="91"/>
  <c r="E53" i="91"/>
  <c r="H52" i="91"/>
  <c r="G52" i="91"/>
  <c r="E52" i="91"/>
  <c r="H51" i="91"/>
  <c r="G51" i="91"/>
  <c r="E51" i="91"/>
  <c r="H50" i="91"/>
  <c r="G50" i="91"/>
  <c r="E50" i="91"/>
  <c r="H49" i="91"/>
  <c r="G49" i="91"/>
  <c r="E49" i="91"/>
  <c r="H48" i="91"/>
  <c r="G48" i="91"/>
  <c r="F48" i="91"/>
  <c r="E48" i="91"/>
  <c r="D48" i="91"/>
  <c r="C48" i="91"/>
  <c r="B48" i="91"/>
  <c r="H47" i="91"/>
  <c r="G47" i="91"/>
  <c r="E47" i="91"/>
  <c r="H46" i="91"/>
  <c r="G46" i="91"/>
  <c r="E46" i="91"/>
  <c r="K108" i="91"/>
  <c r="J108" i="91"/>
  <c r="I108" i="91"/>
  <c r="H108" i="91"/>
  <c r="G108" i="91"/>
  <c r="F108" i="91"/>
  <c r="E108" i="91"/>
  <c r="D108" i="91"/>
  <c r="C108" i="91"/>
  <c r="B108" i="91"/>
  <c r="F97" i="91"/>
  <c r="C97" i="91"/>
  <c r="B97" i="91"/>
  <c r="H45" i="91"/>
  <c r="G45" i="91"/>
  <c r="E45" i="91"/>
  <c r="H44" i="91"/>
  <c r="G44" i="91"/>
  <c r="E44" i="91"/>
  <c r="H43" i="91"/>
  <c r="G43" i="91"/>
  <c r="E43" i="91"/>
  <c r="H42" i="91"/>
  <c r="G42" i="91"/>
  <c r="F42" i="91"/>
  <c r="E42" i="91"/>
  <c r="D42" i="91"/>
  <c r="C42" i="91"/>
  <c r="B42" i="91"/>
  <c r="H41" i="91"/>
  <c r="G41" i="91"/>
  <c r="E41" i="91"/>
  <c r="H40" i="91"/>
  <c r="G40" i="91"/>
  <c r="E40" i="91"/>
  <c r="H39" i="91"/>
  <c r="G39" i="91"/>
  <c r="E39" i="91"/>
  <c r="H38" i="91"/>
  <c r="G38" i="91"/>
  <c r="E38" i="91"/>
  <c r="H37" i="91"/>
  <c r="G37" i="91"/>
  <c r="E37" i="91"/>
  <c r="H36" i="91"/>
  <c r="G36" i="91"/>
  <c r="E36" i="91"/>
  <c r="H35" i="91"/>
  <c r="G35" i="91"/>
  <c r="E35" i="91"/>
  <c r="H34" i="91"/>
  <c r="G34" i="91"/>
  <c r="E34" i="91"/>
  <c r="H33" i="91"/>
  <c r="G33" i="91"/>
  <c r="E33" i="91"/>
  <c r="H32" i="91"/>
  <c r="G32" i="91"/>
  <c r="F32" i="91"/>
  <c r="E32" i="91"/>
  <c r="D32" i="91"/>
  <c r="C32" i="91"/>
  <c r="B32" i="91"/>
  <c r="H31" i="91"/>
  <c r="G31" i="91"/>
  <c r="E31" i="91"/>
  <c r="H30" i="91"/>
  <c r="G30" i="91"/>
  <c r="E30" i="91"/>
  <c r="H29" i="91"/>
  <c r="G29" i="91"/>
  <c r="E29" i="91"/>
  <c r="H28" i="91"/>
  <c r="G28" i="91"/>
  <c r="E28" i="91"/>
  <c r="H27" i="91"/>
  <c r="G27" i="91"/>
  <c r="F27" i="91"/>
  <c r="E27" i="91"/>
  <c r="D27" i="91"/>
  <c r="C27" i="91"/>
  <c r="B27" i="91"/>
  <c r="H26" i="91"/>
  <c r="G26" i="91"/>
  <c r="E26" i="91"/>
  <c r="H25" i="91"/>
  <c r="G25" i="91"/>
  <c r="E25" i="91"/>
  <c r="H24" i="91"/>
  <c r="G24" i="91"/>
  <c r="E24" i="91"/>
  <c r="H23" i="91"/>
  <c r="G23" i="91"/>
  <c r="F23" i="91"/>
  <c r="E23" i="91"/>
  <c r="D23" i="91"/>
  <c r="C23" i="91"/>
  <c r="B23" i="91"/>
  <c r="F22" i="91"/>
  <c r="D22" i="91"/>
  <c r="D21" i="91"/>
  <c r="B22" i="91"/>
  <c r="I221" i="91"/>
  <c r="F221" i="91"/>
  <c r="I220" i="91"/>
  <c r="F220" i="91"/>
  <c r="I219" i="91"/>
  <c r="F219" i="91"/>
  <c r="I218" i="91"/>
  <c r="F218" i="91"/>
  <c r="K217" i="91"/>
  <c r="J217" i="91"/>
  <c r="I217" i="91"/>
  <c r="H217" i="91"/>
  <c r="G217" i="91"/>
  <c r="F217" i="91"/>
  <c r="E217" i="91"/>
  <c r="D217" i="91"/>
  <c r="C217" i="91"/>
  <c r="B217" i="91"/>
  <c r="I216" i="91"/>
  <c r="F216" i="91"/>
  <c r="I215" i="91"/>
  <c r="F215" i="91"/>
  <c r="I214" i="91"/>
  <c r="F214" i="91"/>
  <c r="K213" i="91"/>
  <c r="J213" i="91"/>
  <c r="I213" i="91"/>
  <c r="H213" i="91"/>
  <c r="H212" i="91"/>
  <c r="H118" i="91"/>
  <c r="H119" i="91"/>
  <c r="H127" i="91"/>
  <c r="G213" i="91"/>
  <c r="F213" i="91"/>
  <c r="E213" i="91"/>
  <c r="D213" i="91"/>
  <c r="C213" i="91"/>
  <c r="B213" i="91"/>
  <c r="K212" i="91"/>
  <c r="K118" i="91"/>
  <c r="K119" i="91"/>
  <c r="K127" i="91"/>
  <c r="K129" i="91"/>
  <c r="J212" i="91"/>
  <c r="J118" i="91"/>
  <c r="J119" i="91"/>
  <c r="J127" i="91"/>
  <c r="G212" i="91"/>
  <c r="E212" i="91"/>
  <c r="E118" i="91"/>
  <c r="E119" i="91"/>
  <c r="E127" i="91"/>
  <c r="D212" i="91"/>
  <c r="D118" i="91"/>
  <c r="D119" i="91"/>
  <c r="D127" i="91"/>
  <c r="D129" i="91"/>
  <c r="C212" i="91"/>
  <c r="B212" i="91"/>
  <c r="H203" i="91"/>
  <c r="G203" i="91"/>
  <c r="E203" i="91"/>
  <c r="H202" i="91"/>
  <c r="G202" i="91"/>
  <c r="E202" i="91"/>
  <c r="H201" i="91"/>
  <c r="G201" i="91"/>
  <c r="E201" i="91"/>
  <c r="H200" i="91"/>
  <c r="G200" i="91"/>
  <c r="E200" i="91"/>
  <c r="H199" i="91"/>
  <c r="G199" i="91"/>
  <c r="F199" i="91"/>
  <c r="E199" i="91"/>
  <c r="D199" i="91"/>
  <c r="C199" i="91"/>
  <c r="B199" i="91"/>
  <c r="H198" i="91"/>
  <c r="G198" i="91"/>
  <c r="E198" i="91"/>
  <c r="H197" i="91"/>
  <c r="G197" i="91"/>
  <c r="E197" i="91"/>
  <c r="H196" i="91"/>
  <c r="G196" i="91"/>
  <c r="E196" i="91"/>
  <c r="H195" i="91"/>
  <c r="G195" i="91"/>
  <c r="E195" i="91"/>
  <c r="H194" i="91"/>
  <c r="G194" i="91"/>
  <c r="E194" i="91"/>
  <c r="H193" i="91"/>
  <c r="G193" i="91"/>
  <c r="E193" i="91"/>
  <c r="H192" i="91"/>
  <c r="G192" i="91"/>
  <c r="E192" i="91"/>
  <c r="H191" i="91"/>
  <c r="G191" i="91"/>
  <c r="E191" i="91"/>
  <c r="H190" i="91"/>
  <c r="G190" i="91"/>
  <c r="F190" i="91"/>
  <c r="E190" i="91"/>
  <c r="D190" i="91"/>
  <c r="C190" i="91"/>
  <c r="B190" i="91"/>
  <c r="H189" i="91"/>
  <c r="G189" i="91"/>
  <c r="E189" i="91"/>
  <c r="H188" i="91"/>
  <c r="G188" i="91"/>
  <c r="E188" i="91"/>
  <c r="H162" i="91"/>
  <c r="G162" i="91"/>
  <c r="E162" i="91"/>
  <c r="H161" i="91"/>
  <c r="G161" i="91"/>
  <c r="F161" i="91"/>
  <c r="E161" i="91"/>
  <c r="D161" i="91"/>
  <c r="C161" i="91"/>
  <c r="B161" i="91"/>
  <c r="H160" i="91"/>
  <c r="G160" i="91"/>
  <c r="E160" i="91"/>
  <c r="H159" i="91"/>
  <c r="G159" i="91"/>
  <c r="E159" i="91"/>
  <c r="H158" i="91"/>
  <c r="G158" i="91"/>
  <c r="E158" i="91"/>
  <c r="H157" i="91"/>
  <c r="G157" i="91"/>
  <c r="E157" i="91"/>
  <c r="H156" i="91"/>
  <c r="G156" i="91"/>
  <c r="E156" i="91"/>
  <c r="H155" i="91"/>
  <c r="G155" i="91"/>
  <c r="E155" i="91"/>
  <c r="H154" i="91"/>
  <c r="G154" i="91"/>
  <c r="E154" i="91"/>
  <c r="H153" i="91"/>
  <c r="G153" i="91"/>
  <c r="E153" i="91"/>
  <c r="H152" i="91"/>
  <c r="G152" i="91"/>
  <c r="E152" i="91"/>
  <c r="H151" i="91"/>
  <c r="G151" i="91"/>
  <c r="F151" i="91"/>
  <c r="E151" i="91"/>
  <c r="D151" i="91"/>
  <c r="C151" i="91"/>
  <c r="B151" i="91"/>
  <c r="H150" i="91"/>
  <c r="G150" i="91"/>
  <c r="E150" i="91"/>
  <c r="H149" i="91"/>
  <c r="G149" i="91"/>
  <c r="E149" i="91"/>
  <c r="H148" i="91"/>
  <c r="G148" i="91"/>
  <c r="E148" i="91"/>
  <c r="H147" i="91"/>
  <c r="G147" i="91"/>
  <c r="E147" i="91"/>
  <c r="H146" i="91"/>
  <c r="G146" i="91"/>
  <c r="F146" i="91"/>
  <c r="E146" i="91"/>
  <c r="D146" i="91"/>
  <c r="C146" i="91"/>
  <c r="B146" i="91"/>
  <c r="H145" i="91"/>
  <c r="G145" i="91"/>
  <c r="E145" i="91"/>
  <c r="H144" i="91"/>
  <c r="G144" i="91"/>
  <c r="E144" i="91"/>
  <c r="H143" i="91"/>
  <c r="G143" i="91"/>
  <c r="E143" i="91"/>
  <c r="H142" i="91"/>
  <c r="G142" i="91"/>
  <c r="F142" i="91"/>
  <c r="E142" i="91"/>
  <c r="D142" i="91"/>
  <c r="C142" i="91"/>
  <c r="B142" i="91"/>
  <c r="F141" i="91"/>
  <c r="D141" i="91"/>
  <c r="D140" i="91"/>
  <c r="D85" i="91"/>
  <c r="D86" i="91"/>
  <c r="D94" i="91"/>
  <c r="D96" i="91"/>
  <c r="C141" i="91"/>
  <c r="B141" i="91"/>
  <c r="B140" i="91"/>
  <c r="B85" i="91"/>
  <c r="B86" i="91"/>
  <c r="B94" i="91"/>
  <c r="B96" i="91"/>
  <c r="I130" i="91"/>
  <c r="F130" i="91"/>
  <c r="I126" i="91"/>
  <c r="F126" i="91"/>
  <c r="I125" i="91"/>
  <c r="F125" i="91"/>
  <c r="K124" i="91"/>
  <c r="K120" i="91"/>
  <c r="J124" i="91"/>
  <c r="I124" i="91"/>
  <c r="H124" i="91"/>
  <c r="G124" i="91"/>
  <c r="F124" i="91"/>
  <c r="E124" i="91"/>
  <c r="D124" i="91"/>
  <c r="C124" i="91"/>
  <c r="B124" i="91"/>
  <c r="I123" i="91"/>
  <c r="F123" i="91"/>
  <c r="I122" i="91"/>
  <c r="F122" i="91"/>
  <c r="K121" i="91"/>
  <c r="J121" i="91"/>
  <c r="I121" i="91"/>
  <c r="H121" i="91"/>
  <c r="H120" i="91"/>
  <c r="G121" i="91"/>
  <c r="G120" i="91"/>
  <c r="F121" i="91"/>
  <c r="E121" i="91"/>
  <c r="D121" i="91"/>
  <c r="C121" i="91"/>
  <c r="B121" i="91"/>
  <c r="J120" i="91"/>
  <c r="E120" i="91"/>
  <c r="D120" i="91"/>
  <c r="C120" i="91"/>
  <c r="B120" i="91"/>
  <c r="G118" i="91"/>
  <c r="G119" i="91"/>
  <c r="G127" i="91"/>
  <c r="G129" i="91"/>
  <c r="C118" i="91"/>
  <c r="C119" i="91"/>
  <c r="B118" i="91"/>
  <c r="B119" i="91"/>
  <c r="B127" i="91"/>
  <c r="B129" i="91"/>
  <c r="I117" i="91"/>
  <c r="F117" i="91"/>
  <c r="I116" i="91"/>
  <c r="F116" i="91"/>
  <c r="I115" i="91"/>
  <c r="F115" i="91"/>
  <c r="I114" i="91"/>
  <c r="F114" i="91"/>
  <c r="K113" i="91"/>
  <c r="J113" i="91"/>
  <c r="I113" i="91"/>
  <c r="H113" i="91"/>
  <c r="G113" i="91"/>
  <c r="F113" i="91"/>
  <c r="E113" i="91"/>
  <c r="D113" i="91"/>
  <c r="C113" i="91"/>
  <c r="B113" i="91"/>
  <c r="I112" i="91"/>
  <c r="F112" i="91"/>
  <c r="I111" i="91"/>
  <c r="F111" i="91"/>
  <c r="I110" i="91"/>
  <c r="F110" i="91"/>
  <c r="K109" i="91"/>
  <c r="J109" i="91"/>
  <c r="I109" i="91"/>
  <c r="H109" i="91"/>
  <c r="G109" i="91"/>
  <c r="F109" i="91"/>
  <c r="E109" i="91"/>
  <c r="D109" i="91"/>
  <c r="C109" i="91"/>
  <c r="B109" i="91"/>
  <c r="B12" i="22"/>
  <c r="B41" i="22"/>
  <c r="D157" i="22"/>
  <c r="B12" i="27"/>
  <c r="C18" i="27" s="1"/>
  <c r="B12" i="85"/>
  <c r="D67" i="85"/>
  <c r="B12" i="79"/>
  <c r="A189" i="24"/>
  <c r="A190" i="24"/>
  <c r="A191" i="24"/>
  <c r="B12" i="65"/>
  <c r="B12" i="80"/>
  <c r="B159" i="80"/>
  <c r="A83" i="80"/>
  <c r="B12" i="101"/>
  <c r="M41" i="101"/>
  <c r="M39" i="101"/>
  <c r="M27" i="101"/>
  <c r="M28" i="101"/>
  <c r="B12" i="95"/>
  <c r="C20" i="95"/>
  <c r="B110" i="95"/>
  <c r="C138" i="95"/>
  <c r="B161" i="95"/>
  <c r="B12" i="90"/>
  <c r="B12" i="6"/>
  <c r="D17" i="6" s="1"/>
  <c r="D219" i="6" s="1"/>
  <c r="B12" i="91"/>
  <c r="D106" i="91"/>
  <c r="D138" i="91"/>
  <c r="D210" i="91"/>
  <c r="G210" i="91"/>
  <c r="A222" i="91"/>
  <c r="A223" i="91"/>
  <c r="B19" i="22"/>
  <c r="C74" i="22"/>
  <c r="C86" i="22"/>
  <c r="D86" i="22"/>
  <c r="G77" i="85"/>
  <c r="G70" i="85"/>
  <c r="G74" i="85"/>
  <c r="G78" i="85"/>
  <c r="G72" i="85"/>
  <c r="E76" i="85"/>
  <c r="E78" i="85"/>
  <c r="E69" i="85"/>
  <c r="E64" i="85"/>
  <c r="E73" i="85"/>
  <c r="E75" i="85"/>
  <c r="G64" i="85"/>
  <c r="E127" i="85"/>
  <c r="D118" i="85"/>
  <c r="D18" i="85"/>
  <c r="F67" i="85"/>
  <c r="F54" i="85"/>
  <c r="D41" i="85"/>
  <c r="F118" i="85"/>
  <c r="D54" i="85"/>
  <c r="H28" i="79"/>
  <c r="E21" i="80"/>
  <c r="E46" i="80"/>
  <c r="G132" i="80"/>
  <c r="C157" i="80"/>
  <c r="E132" i="80"/>
  <c r="B142" i="80"/>
  <c r="B144" i="80" s="1"/>
  <c r="B146" i="80" s="1"/>
  <c r="D109" i="22" s="1"/>
  <c r="E118" i="80"/>
  <c r="G118" i="80"/>
  <c r="D19" i="80"/>
  <c r="F150" i="80"/>
  <c r="D68" i="80"/>
  <c r="D116" i="80"/>
  <c r="F86" i="80"/>
  <c r="F181" i="91"/>
  <c r="F140" i="91"/>
  <c r="F85" i="91"/>
  <c r="F86" i="91"/>
  <c r="F94" i="91"/>
  <c r="F95" i="91"/>
  <c r="F96" i="91"/>
  <c r="G181" i="91"/>
  <c r="H181" i="91"/>
  <c r="G87" i="91"/>
  <c r="E62" i="91"/>
  <c r="F21" i="91"/>
  <c r="G62" i="91"/>
  <c r="C21" i="91"/>
  <c r="E21" i="91"/>
  <c r="H62" i="91"/>
  <c r="B21" i="91"/>
  <c r="H22" i="91"/>
  <c r="E22" i="91"/>
  <c r="G22" i="91"/>
  <c r="F212" i="91"/>
  <c r="F118" i="91"/>
  <c r="I212" i="91"/>
  <c r="I118" i="91"/>
  <c r="J128" i="91"/>
  <c r="J129" i="91"/>
  <c r="E128" i="91"/>
  <c r="E129" i="91"/>
  <c r="F119" i="91"/>
  <c r="C127" i="91"/>
  <c r="I119" i="91"/>
  <c r="E141" i="91"/>
  <c r="G141" i="91"/>
  <c r="C140" i="91"/>
  <c r="H141" i="91"/>
  <c r="I120" i="91"/>
  <c r="F120" i="91"/>
  <c r="D108" i="22"/>
  <c r="B51" i="22"/>
  <c r="G106" i="91"/>
  <c r="D19" i="91"/>
  <c r="F19" i="91"/>
  <c r="D150" i="80"/>
  <c r="D86" i="80"/>
  <c r="F116" i="80"/>
  <c r="D49" i="80"/>
  <c r="B60" i="22"/>
  <c r="E157" i="80"/>
  <c r="G157" i="80"/>
  <c r="H128" i="91"/>
  <c r="H129" i="91"/>
  <c r="E140" i="91"/>
  <c r="C85" i="91"/>
  <c r="H21" i="91"/>
  <c r="G21" i="91"/>
  <c r="C129" i="91"/>
  <c r="F127" i="91"/>
  <c r="I127" i="91"/>
  <c r="G140" i="91"/>
  <c r="H140" i="91"/>
  <c r="E106" i="91"/>
  <c r="F138" i="91"/>
  <c r="E210" i="91"/>
  <c r="H210" i="91"/>
  <c r="H106" i="91"/>
  <c r="C86" i="91"/>
  <c r="E85" i="91"/>
  <c r="H85" i="91"/>
  <c r="G85" i="91"/>
  <c r="G86" i="91"/>
  <c r="E86" i="91"/>
  <c r="C94" i="91"/>
  <c r="H86" i="91"/>
  <c r="E94" i="91"/>
  <c r="H94" i="91"/>
  <c r="G94" i="91"/>
  <c r="C96" i="91"/>
  <c r="E96" i="91"/>
  <c r="H96" i="91"/>
  <c r="G96" i="91"/>
  <c r="G79" i="85" l="1"/>
  <c r="G81" i="85" s="1"/>
  <c r="F81" i="85"/>
  <c r="B158" i="22"/>
  <c r="E79" i="85"/>
  <c r="E81" i="85" s="1"/>
  <c r="D81" i="85"/>
  <c r="E71" i="85"/>
  <c r="C38" i="79"/>
  <c r="D38" i="79" s="1"/>
  <c r="D19" i="79"/>
  <c r="C147" i="22" s="1"/>
  <c r="B147" i="22"/>
  <c r="D18" i="27"/>
  <c r="B109" i="22"/>
  <c r="E52" i="80"/>
  <c r="C64" i="80"/>
  <c r="E64" i="80" s="1"/>
  <c r="B79" i="9"/>
  <c r="B49" i="90"/>
  <c r="N49" i="90" s="1"/>
  <c r="B52" i="22" s="1"/>
  <c r="N21" i="90"/>
  <c r="N29" i="90"/>
  <c r="D24" i="65"/>
  <c r="D30" i="65" s="1"/>
  <c r="C31" i="65"/>
  <c r="E17" i="6"/>
  <c r="E219" i="6" s="1"/>
  <c r="G95" i="6"/>
  <c r="G88" i="6"/>
  <c r="G262" i="6"/>
  <c r="K54" i="6"/>
  <c r="K88" i="6"/>
  <c r="K20" i="6"/>
  <c r="K128" i="6"/>
  <c r="G181" i="6"/>
  <c r="G370" i="6"/>
  <c r="K95" i="6"/>
  <c r="K262" i="6"/>
  <c r="K349" i="6"/>
  <c r="K362" i="6"/>
  <c r="G267" i="6"/>
  <c r="G274" i="6"/>
  <c r="K79" i="6"/>
  <c r="K256" i="6"/>
  <c r="K25" i="6"/>
  <c r="G30" i="6"/>
  <c r="K72" i="6"/>
  <c r="G123" i="6"/>
  <c r="K133" i="6"/>
  <c r="G390" i="6"/>
  <c r="G404" i="6"/>
  <c r="G349" i="6"/>
  <c r="K65" i="6"/>
  <c r="H19" i="6"/>
  <c r="K176" i="6"/>
  <c r="K297" i="6"/>
  <c r="E19" i="6"/>
  <c r="H17" i="6"/>
  <c r="H219" i="6" s="1"/>
  <c r="G319" i="6"/>
  <c r="K357" i="6"/>
  <c r="H221" i="6"/>
  <c r="H212" i="6" s="1"/>
  <c r="K267" i="6"/>
  <c r="K227" i="6"/>
  <c r="K232" i="6"/>
  <c r="I19" i="6"/>
  <c r="K330" i="6"/>
  <c r="K343" i="6"/>
  <c r="K123" i="6"/>
  <c r="K141" i="6"/>
  <c r="G176" i="6"/>
  <c r="K188" i="6"/>
  <c r="K370" i="6"/>
  <c r="G106" i="6"/>
  <c r="K155" i="6"/>
  <c r="K168" i="6"/>
  <c r="G196" i="6"/>
  <c r="K390" i="6"/>
  <c r="K404" i="6"/>
  <c r="K281" i="6"/>
  <c r="K308" i="6"/>
  <c r="G357" i="6"/>
  <c r="G54" i="6"/>
  <c r="G60" i="6"/>
  <c r="G330" i="6"/>
  <c r="G343" i="6"/>
  <c r="K117" i="6"/>
  <c r="K237" i="6"/>
  <c r="K181" i="6"/>
  <c r="K378" i="6"/>
  <c r="K383" i="6"/>
  <c r="G111" i="6"/>
  <c r="G65" i="6"/>
  <c r="K398" i="6"/>
  <c r="G290" i="6"/>
  <c r="K313" i="6"/>
  <c r="L221" i="6"/>
  <c r="L212" i="6" s="1"/>
  <c r="E221" i="6"/>
  <c r="E212" i="6" s="1"/>
  <c r="E213" i="6" s="1"/>
  <c r="F142" i="6" s="1"/>
  <c r="G325" i="6"/>
  <c r="G335" i="6"/>
  <c r="G72" i="6"/>
  <c r="G147" i="6"/>
  <c r="K111" i="6"/>
  <c r="K19" i="6" s="1"/>
  <c r="K202" i="6"/>
  <c r="F272" i="6"/>
  <c r="F173" i="6"/>
  <c r="F336" i="6"/>
  <c r="F158" i="6"/>
  <c r="F367" i="6"/>
  <c r="F369" i="6"/>
  <c r="F133" i="6"/>
  <c r="F23" i="6"/>
  <c r="F226" i="6"/>
  <c r="F285" i="6"/>
  <c r="F290" i="6"/>
  <c r="F195" i="6"/>
  <c r="F298" i="6"/>
  <c r="F43" i="6"/>
  <c r="F35" i="6"/>
  <c r="F49" i="6"/>
  <c r="F81" i="6"/>
  <c r="F362" i="6"/>
  <c r="F311" i="6"/>
  <c r="C221" i="6"/>
  <c r="C212" i="6" s="1"/>
  <c r="I221" i="6"/>
  <c r="I212" i="6" s="1"/>
  <c r="I213" i="6" s="1"/>
  <c r="C19" i="6"/>
  <c r="F319" i="6"/>
  <c r="F320" i="6"/>
  <c r="F317" i="6"/>
  <c r="F261" i="6"/>
  <c r="F306" i="6"/>
  <c r="F48" i="6"/>
  <c r="F343" i="6"/>
  <c r="F46" i="6"/>
  <c r="F42" i="6"/>
  <c r="F300" i="6"/>
  <c r="F199" i="6"/>
  <c r="F85" i="6"/>
  <c r="F171" i="6"/>
  <c r="F410" i="6"/>
  <c r="F284" i="6"/>
  <c r="B19" i="6"/>
  <c r="D221" i="6"/>
  <c r="D212" i="6" s="1"/>
  <c r="B221" i="6"/>
  <c r="B212" i="6" s="1"/>
  <c r="K319" i="6"/>
  <c r="G362" i="6"/>
  <c r="K222" i="6"/>
  <c r="G79" i="6"/>
  <c r="D19" i="6"/>
  <c r="L19" i="6"/>
  <c r="L213" i="6" s="1"/>
  <c r="G133" i="6"/>
  <c r="G188" i="6"/>
  <c r="I17" i="6"/>
  <c r="I219" i="6" s="1"/>
  <c r="B85" i="85" l="1"/>
  <c r="B83" i="85"/>
  <c r="D158" i="22" s="1"/>
  <c r="C122" i="22"/>
  <c r="D31" i="65"/>
  <c r="G221" i="6"/>
  <c r="F292" i="6"/>
  <c r="F38" i="6"/>
  <c r="F374" i="6"/>
  <c r="F312" i="6"/>
  <c r="F308" i="6"/>
  <c r="F315" i="6"/>
  <c r="F53" i="6"/>
  <c r="F37" i="6"/>
  <c r="F339" i="6"/>
  <c r="F366" i="6"/>
  <c r="F223" i="6"/>
  <c r="F34" i="6"/>
  <c r="F360" i="6"/>
  <c r="F87" i="6"/>
  <c r="F281" i="6"/>
  <c r="F407" i="6"/>
  <c r="F153" i="6"/>
  <c r="F384" i="6"/>
  <c r="F316" i="6"/>
  <c r="F318" i="6"/>
  <c r="F54" i="6"/>
  <c r="F301" i="6"/>
  <c r="F51" i="6"/>
  <c r="F144" i="6"/>
  <c r="F44" i="6"/>
  <c r="F36" i="6"/>
  <c r="F299" i="6"/>
  <c r="F148" i="6"/>
  <c r="F293" i="6"/>
  <c r="F152" i="6"/>
  <c r="F286" i="6"/>
  <c r="F119" i="6"/>
  <c r="F125" i="6"/>
  <c r="F163" i="6"/>
  <c r="F405" i="6"/>
  <c r="F55" i="6"/>
  <c r="F185" i="6"/>
  <c r="F327" i="6"/>
  <c r="F149" i="6"/>
  <c r="F109" i="6"/>
  <c r="F233" i="6"/>
  <c r="F24" i="6"/>
  <c r="F389" i="6"/>
  <c r="F145" i="6"/>
  <c r="F227" i="6"/>
  <c r="F74" i="6"/>
  <c r="F182" i="6"/>
  <c r="F169" i="6"/>
  <c r="F224" i="6"/>
  <c r="F337" i="6"/>
  <c r="F127" i="6"/>
  <c r="F256" i="6"/>
  <c r="F355" i="6"/>
  <c r="F234" i="6"/>
  <c r="F21" i="6"/>
  <c r="F137" i="6"/>
  <c r="F403" i="6"/>
  <c r="F401" i="6"/>
  <c r="F73" i="6"/>
  <c r="F172" i="6"/>
  <c r="F160" i="6"/>
  <c r="F116" i="6"/>
  <c r="F183" i="6"/>
  <c r="F114" i="6"/>
  <c r="F208" i="6"/>
  <c r="F62" i="6"/>
  <c r="F338" i="6"/>
  <c r="F128" i="6"/>
  <c r="F189" i="6"/>
  <c r="F356" i="6"/>
  <c r="F235" i="6"/>
  <c r="F22" i="6"/>
  <c r="F139" i="6"/>
  <c r="F166" i="6"/>
  <c r="F395" i="6"/>
  <c r="F391" i="6"/>
  <c r="F31" i="6"/>
  <c r="F314" i="6"/>
  <c r="F307" i="6"/>
  <c r="F80" i="6"/>
  <c r="F117" i="6"/>
  <c r="F270" i="6"/>
  <c r="F41" i="6"/>
  <c r="F132" i="6"/>
  <c r="F108" i="6"/>
  <c r="F267" i="6"/>
  <c r="F33" i="6"/>
  <c r="F388" i="6"/>
  <c r="F283" i="6"/>
  <c r="F378" i="6"/>
  <c r="F254" i="6"/>
  <c r="F404" i="6"/>
  <c r="F135" i="6"/>
  <c r="F140" i="6"/>
  <c r="F112" i="6"/>
  <c r="F340" i="6"/>
  <c r="F251" i="6"/>
  <c r="F354" i="6"/>
  <c r="F56" i="6"/>
  <c r="F121" i="6"/>
  <c r="F162" i="6"/>
  <c r="F371" i="6"/>
  <c r="F201" i="6"/>
  <c r="F78" i="6"/>
  <c r="F186" i="6"/>
  <c r="F203" i="6"/>
  <c r="F61" i="6"/>
  <c r="F341" i="6"/>
  <c r="F150" i="6"/>
  <c r="F192" i="6"/>
  <c r="F364" i="6"/>
  <c r="F57" i="6"/>
  <c r="F25" i="6"/>
  <c r="F178" i="6"/>
  <c r="F400" i="6"/>
  <c r="F399" i="6"/>
  <c r="F129" i="6"/>
  <c r="F210" i="6"/>
  <c r="F156" i="6"/>
  <c r="F131" i="6"/>
  <c r="F187" i="6"/>
  <c r="F170" i="6"/>
  <c r="F269" i="6"/>
  <c r="F84" i="6"/>
  <c r="F342" i="6"/>
  <c r="F151" i="6"/>
  <c r="F193" i="6"/>
  <c r="F365" i="6"/>
  <c r="F58" i="6"/>
  <c r="F32" i="6"/>
  <c r="F179" i="6"/>
  <c r="F390" i="6"/>
  <c r="F394" i="6"/>
  <c r="F106" i="6"/>
  <c r="F305" i="6"/>
  <c r="F209" i="6"/>
  <c r="F40" i="6"/>
  <c r="F76" i="6"/>
  <c r="F184" i="6"/>
  <c r="F282" i="6"/>
  <c r="F257" i="6"/>
  <c r="F190" i="6"/>
  <c r="F206" i="6"/>
  <c r="F255" i="6"/>
  <c r="F258" i="6"/>
  <c r="F213" i="6"/>
  <c r="F197" i="6"/>
  <c r="F376" i="6"/>
  <c r="F83" i="6"/>
  <c r="F154" i="6"/>
  <c r="F368" i="6"/>
  <c r="F72" i="6"/>
  <c r="F398" i="6"/>
  <c r="F176" i="6"/>
  <c r="F361" i="6"/>
  <c r="F373" i="6"/>
  <c r="F273" i="6"/>
  <c r="F27" i="6"/>
  <c r="F107" i="6"/>
  <c r="F351" i="6"/>
  <c r="F386" i="6"/>
  <c r="F393" i="6"/>
  <c r="F71" i="6"/>
  <c r="F177" i="6"/>
  <c r="F161" i="6"/>
  <c r="F382" i="6"/>
  <c r="F238" i="6"/>
  <c r="F335" i="6"/>
  <c r="F232" i="6"/>
  <c r="F101" i="6"/>
  <c r="F249" i="6"/>
  <c r="F352" i="6"/>
  <c r="F379" i="6"/>
  <c r="F349" i="6"/>
  <c r="F93" i="6"/>
  <c r="F222" i="6"/>
  <c r="F94" i="6"/>
  <c r="F97" i="6"/>
  <c r="F244" i="6"/>
  <c r="F322" i="6"/>
  <c r="F321" i="6"/>
  <c r="F68" i="6"/>
  <c r="F347" i="6"/>
  <c r="F98" i="6"/>
  <c r="F245" i="6"/>
  <c r="F90" i="6"/>
  <c r="F66" i="6"/>
  <c r="F95" i="6"/>
  <c r="F45" i="6"/>
  <c r="F198" i="6"/>
  <c r="F146" i="6"/>
  <c r="F102" i="6"/>
  <c r="F329" i="6"/>
  <c r="F123" i="6"/>
  <c r="F63" i="6"/>
  <c r="F381" i="6"/>
  <c r="F239" i="6"/>
  <c r="F265" i="6"/>
  <c r="F333" i="6"/>
  <c r="F19" i="6"/>
  <c r="F313" i="6"/>
  <c r="F303" i="6"/>
  <c r="F28" i="6"/>
  <c r="F39" i="6"/>
  <c r="F175" i="6"/>
  <c r="F274" i="6"/>
  <c r="F353" i="6"/>
  <c r="F180" i="6"/>
  <c r="F357" i="6"/>
  <c r="F86" i="6"/>
  <c r="F191" i="6"/>
  <c r="F262" i="6"/>
  <c r="F77" i="6"/>
  <c r="F157" i="6"/>
  <c r="F113" i="6"/>
  <c r="F328" i="6"/>
  <c r="F252" i="6"/>
  <c r="F412" i="6"/>
  <c r="F122" i="6"/>
  <c r="F402" i="6"/>
  <c r="F375" i="6"/>
  <c r="F75" i="6"/>
  <c r="F377" i="6"/>
  <c r="F225" i="6"/>
  <c r="F124" i="6"/>
  <c r="F111" i="6"/>
  <c r="F260" i="6"/>
  <c r="F104" i="6"/>
  <c r="F392" i="6"/>
  <c r="F120" i="6"/>
  <c r="F181" i="6"/>
  <c r="F165" i="6"/>
  <c r="F250" i="6"/>
  <c r="F20" i="6"/>
  <c r="F331" i="6"/>
  <c r="F280" i="6"/>
  <c r="F69" i="6"/>
  <c r="F323" i="6"/>
  <c r="F99" i="6"/>
  <c r="F247" i="6"/>
  <c r="F345" i="6"/>
  <c r="F89" i="6"/>
  <c r="F221" i="6"/>
  <c r="F65" i="6"/>
  <c r="F240" i="6"/>
  <c r="F96" i="6"/>
  <c r="F91" i="6"/>
  <c r="F241" i="6"/>
  <c r="F309" i="6"/>
  <c r="F294" i="6"/>
  <c r="F330" i="6"/>
  <c r="F126" i="6"/>
  <c r="F141" i="6"/>
  <c r="F268" i="6"/>
  <c r="F110" i="6"/>
  <c r="F359" i="6"/>
  <c r="F147" i="6"/>
  <c r="F253" i="6"/>
  <c r="F168" i="6"/>
  <c r="F103" i="6"/>
  <c r="F344" i="6"/>
  <c r="F264" i="6"/>
  <c r="F383" i="6"/>
  <c r="F325" i="6"/>
  <c r="F100" i="6"/>
  <c r="F278" i="6"/>
  <c r="F188" i="6"/>
  <c r="F310" i="6"/>
  <c r="F50" i="6"/>
  <c r="F47" i="6"/>
  <c r="F326" i="6"/>
  <c r="F295" i="6"/>
  <c r="F289" i="6"/>
  <c r="F205" i="6"/>
  <c r="F408" i="6"/>
  <c r="F167" i="6"/>
  <c r="F29" i="6"/>
  <c r="F363" i="6"/>
  <c r="F136" i="6"/>
  <c r="F196" i="6"/>
  <c r="F130" i="6"/>
  <c r="F207" i="6"/>
  <c r="F26" i="6"/>
  <c r="F370" i="6"/>
  <c r="F350" i="6"/>
  <c r="F385" i="6"/>
  <c r="F202" i="6"/>
  <c r="F82" i="6"/>
  <c r="F143" i="6"/>
  <c r="F174" i="6"/>
  <c r="F88" i="6"/>
  <c r="F236" i="6"/>
  <c r="F409" i="6"/>
  <c r="F118" i="6"/>
  <c r="F397" i="6"/>
  <c r="F164" i="6"/>
  <c r="F134" i="6"/>
  <c r="F387" i="6"/>
  <c r="F212" i="6"/>
  <c r="F246" i="6"/>
  <c r="F348" i="6"/>
  <c r="F324" i="6"/>
  <c r="F276" i="6"/>
  <c r="F67" i="6"/>
  <c r="F231" i="6"/>
  <c r="F64" i="6"/>
  <c r="F243" i="6"/>
  <c r="F332" i="6"/>
  <c r="F229" i="6"/>
  <c r="F277" i="6"/>
  <c r="F334" i="6"/>
  <c r="F380" i="6"/>
  <c r="F346" i="6"/>
  <c r="F230" i="6"/>
  <c r="F275" i="6"/>
  <c r="F52" i="6"/>
  <c r="F297" i="6"/>
  <c r="F287" i="6"/>
  <c r="F406" i="6"/>
  <c r="F411" i="6"/>
  <c r="F271" i="6"/>
  <c r="F30" i="6"/>
  <c r="F259" i="6"/>
  <c r="F200" i="6"/>
  <c r="F204" i="6"/>
  <c r="F266" i="6"/>
  <c r="F396" i="6"/>
  <c r="F138" i="6"/>
  <c r="F242" i="6"/>
  <c r="F92" i="6"/>
  <c r="F279" i="6"/>
  <c r="F228" i="6"/>
  <c r="F248" i="6"/>
  <c r="F70" i="6"/>
  <c r="F263" i="6"/>
  <c r="H213" i="6"/>
  <c r="B213" i="6"/>
  <c r="G19" i="6"/>
  <c r="F288" i="6"/>
  <c r="F296" i="6"/>
  <c r="F115" i="6"/>
  <c r="F237" i="6"/>
  <c r="F302" i="6"/>
  <c r="F358" i="6"/>
  <c r="B42" i="22"/>
  <c r="F304" i="6"/>
  <c r="F159" i="6"/>
  <c r="F194" i="6"/>
  <c r="F291" i="6"/>
  <c r="F59" i="6"/>
  <c r="F105" i="6"/>
  <c r="F79" i="6"/>
  <c r="F60" i="6"/>
  <c r="F155" i="6"/>
  <c r="F372" i="6"/>
  <c r="K221" i="6"/>
  <c r="D213" i="6"/>
  <c r="B43" i="22"/>
  <c r="J320" i="6"/>
  <c r="J122" i="6"/>
  <c r="J322" i="6"/>
  <c r="J88" i="6"/>
  <c r="J280" i="6"/>
  <c r="J275" i="6"/>
  <c r="J412" i="6"/>
  <c r="J352" i="6"/>
  <c r="J263" i="6"/>
  <c r="J100" i="6"/>
  <c r="J212" i="6"/>
  <c r="J195" i="6"/>
  <c r="J160" i="6"/>
  <c r="J109" i="6"/>
  <c r="J381" i="6"/>
  <c r="J371" i="6"/>
  <c r="J185" i="6"/>
  <c r="J249" i="6"/>
  <c r="J245" i="6"/>
  <c r="J241" i="6"/>
  <c r="J237" i="6"/>
  <c r="J141" i="6"/>
  <c r="J128" i="6"/>
  <c r="J72" i="6"/>
  <c r="J22" i="6"/>
  <c r="J347" i="6"/>
  <c r="J343" i="6"/>
  <c r="J333" i="6"/>
  <c r="J328" i="6"/>
  <c r="J60" i="6"/>
  <c r="J230" i="6"/>
  <c r="J199" i="6"/>
  <c r="J162" i="6"/>
  <c r="J103" i="6"/>
  <c r="J372" i="6"/>
  <c r="J182" i="6"/>
  <c r="J236" i="6"/>
  <c r="J142" i="6"/>
  <c r="J127" i="6"/>
  <c r="J71" i="6"/>
  <c r="J23" i="6"/>
  <c r="J342" i="6"/>
  <c r="J84" i="6"/>
  <c r="J226" i="6"/>
  <c r="J366" i="6"/>
  <c r="J74" i="6"/>
  <c r="J183" i="6"/>
  <c r="J163" i="6"/>
  <c r="J32" i="6"/>
  <c r="J143" i="6"/>
  <c r="J188" i="6"/>
  <c r="J107" i="6"/>
  <c r="J319" i="6"/>
  <c r="J232" i="6"/>
  <c r="J28" i="6"/>
  <c r="J93" i="6"/>
  <c r="J82" i="6"/>
  <c r="J279" i="6"/>
  <c r="J274" i="6"/>
  <c r="J364" i="6"/>
  <c r="J321" i="6"/>
  <c r="J96" i="6"/>
  <c r="J64" i="6"/>
  <c r="J207" i="6"/>
  <c r="J171" i="6"/>
  <c r="J158" i="6"/>
  <c r="J102" i="6"/>
  <c r="J380" i="6"/>
  <c r="J370" i="6"/>
  <c r="J181" i="6"/>
  <c r="J248" i="6"/>
  <c r="J244" i="6"/>
  <c r="J240" i="6"/>
  <c r="J154" i="6"/>
  <c r="J139" i="6"/>
  <c r="J126" i="6"/>
  <c r="J34" i="6"/>
  <c r="J261" i="6"/>
  <c r="J346" i="6"/>
  <c r="J341" i="6"/>
  <c r="J332" i="6"/>
  <c r="J87" i="6"/>
  <c r="J58" i="6"/>
  <c r="J229" i="6"/>
  <c r="J172" i="6"/>
  <c r="J159" i="6"/>
  <c r="J387" i="6"/>
  <c r="J369" i="6"/>
  <c r="J180" i="6"/>
  <c r="J151" i="6"/>
  <c r="J140" i="6"/>
  <c r="J120" i="6"/>
  <c r="J31" i="6"/>
  <c r="J19" i="6"/>
  <c r="J338" i="6"/>
  <c r="J62" i="6"/>
  <c r="J222" i="6"/>
  <c r="J362" i="6"/>
  <c r="J117" i="6"/>
  <c r="J373" i="6"/>
  <c r="J169" i="6"/>
  <c r="J78" i="6"/>
  <c r="J324" i="6"/>
  <c r="J234" i="6"/>
  <c r="J267" i="6"/>
  <c r="J264" i="6"/>
  <c r="J213" i="6"/>
  <c r="J161" i="6"/>
  <c r="J382" i="6"/>
  <c r="J190" i="6"/>
  <c r="J246" i="6"/>
  <c r="J238" i="6"/>
  <c r="J129" i="6"/>
  <c r="J29" i="6"/>
  <c r="J344" i="6"/>
  <c r="J330" i="6"/>
  <c r="J231" i="6"/>
  <c r="J166" i="6"/>
  <c r="J376" i="6"/>
  <c r="J253" i="6"/>
  <c r="J130" i="6"/>
  <c r="J25" i="6"/>
  <c r="J325" i="6"/>
  <c r="J410" i="6"/>
  <c r="J124" i="6"/>
  <c r="J27" i="6"/>
  <c r="J177" i="6"/>
  <c r="J106" i="6"/>
  <c r="J233" i="6"/>
  <c r="J90" i="6"/>
  <c r="J278" i="6"/>
  <c r="J358" i="6"/>
  <c r="J94" i="6"/>
  <c r="J203" i="6"/>
  <c r="J112" i="6"/>
  <c r="J379" i="6"/>
  <c r="J179" i="6"/>
  <c r="J243" i="6"/>
  <c r="J150" i="6"/>
  <c r="J119" i="6"/>
  <c r="J257" i="6"/>
  <c r="J337" i="6"/>
  <c r="J83" i="6"/>
  <c r="J208" i="6"/>
  <c r="J113" i="6"/>
  <c r="J191" i="6"/>
  <c r="J147" i="6"/>
  <c r="J77" i="6"/>
  <c r="J79" i="6"/>
  <c r="J59" i="6"/>
  <c r="J360" i="6"/>
  <c r="J383" i="6"/>
  <c r="J121" i="6"/>
  <c r="J187" i="6"/>
  <c r="J167" i="6"/>
  <c r="J317" i="6"/>
  <c r="J315" i="6"/>
  <c r="J277" i="6"/>
  <c r="J351" i="6"/>
  <c r="J308" i="6"/>
  <c r="J303" i="6"/>
  <c r="J305" i="6"/>
  <c r="J108" i="6"/>
  <c r="J52" i="6"/>
  <c r="J50" i="6"/>
  <c r="J125" i="6"/>
  <c r="J47" i="6"/>
  <c r="J40" i="6"/>
  <c r="J41" i="6"/>
  <c r="J149" i="6"/>
  <c r="J300" i="6"/>
  <c r="J323" i="6"/>
  <c r="J134" i="6"/>
  <c r="J291" i="6"/>
  <c r="J293" i="6"/>
  <c r="J251" i="6"/>
  <c r="J289" i="6"/>
  <c r="J281" i="6"/>
  <c r="J196" i="6"/>
  <c r="J260" i="6"/>
  <c r="J268" i="6"/>
  <c r="J63" i="6"/>
  <c r="J386" i="6"/>
  <c r="J247" i="6"/>
  <c r="J135" i="6"/>
  <c r="J345" i="6"/>
  <c r="J235" i="6"/>
  <c r="J378" i="6"/>
  <c r="J136" i="6"/>
  <c r="J329" i="6"/>
  <c r="J123" i="6"/>
  <c r="J148" i="6"/>
  <c r="J313" i="6"/>
  <c r="J224" i="6"/>
  <c r="J310" i="6"/>
  <c r="J307" i="6"/>
  <c r="J301" i="6"/>
  <c r="J53" i="6"/>
  <c r="J327" i="6"/>
  <c r="J38" i="6"/>
  <c r="J36" i="6"/>
  <c r="J262" i="6"/>
  <c r="J299" i="6"/>
  <c r="J340" i="6"/>
  <c r="J200" i="6"/>
  <c r="J296" i="6"/>
  <c r="J89" i="6"/>
  <c r="J356" i="6"/>
  <c r="J198" i="6"/>
  <c r="J375" i="6"/>
  <c r="J242" i="6"/>
  <c r="J76" i="6"/>
  <c r="J334" i="6"/>
  <c r="J204" i="6"/>
  <c r="J186" i="6"/>
  <c r="J73" i="6"/>
  <c r="J55" i="6"/>
  <c r="J384" i="6"/>
  <c r="J377" i="6"/>
  <c r="J316" i="6"/>
  <c r="J86" i="6"/>
  <c r="J311" i="6"/>
  <c r="J184" i="6"/>
  <c r="J304" i="6"/>
  <c r="J336" i="6"/>
  <c r="J49" i="6"/>
  <c r="J21" i="6"/>
  <c r="J43" i="6"/>
  <c r="J35" i="6"/>
  <c r="J118" i="6"/>
  <c r="J298" i="6"/>
  <c r="J20" i="6"/>
  <c r="J292" i="6"/>
  <c r="J57" i="6"/>
  <c r="J265" i="6"/>
  <c r="J165" i="6"/>
  <c r="J194" i="6"/>
  <c r="J239" i="6"/>
  <c r="J30" i="6"/>
  <c r="J331" i="6"/>
  <c r="J168" i="6"/>
  <c r="J176" i="6"/>
  <c r="J26" i="6"/>
  <c r="J270" i="6"/>
  <c r="J209" i="6"/>
  <c r="J388" i="6"/>
  <c r="J318" i="6"/>
  <c r="J368" i="6"/>
  <c r="J92" i="6"/>
  <c r="J312" i="6"/>
  <c r="J306" i="6"/>
  <c r="J80" i="6"/>
  <c r="J33" i="6"/>
  <c r="J48" i="6"/>
  <c r="J174" i="6"/>
  <c r="J46" i="6"/>
  <c r="J39" i="6"/>
  <c r="J45" i="6"/>
  <c r="J202" i="6"/>
  <c r="J297" i="6"/>
  <c r="J75" i="6"/>
  <c r="J295" i="6"/>
  <c r="J294" i="6"/>
  <c r="J254" i="6"/>
  <c r="J288" i="6"/>
  <c r="J282" i="6"/>
  <c r="J350" i="6"/>
  <c r="J407" i="6"/>
  <c r="J406" i="6"/>
  <c r="J206" i="6"/>
  <c r="J402" i="6"/>
  <c r="J400" i="6"/>
  <c r="J85" i="6"/>
  <c r="J276" i="6"/>
  <c r="J101" i="6"/>
  <c r="J111" i="6"/>
  <c r="J252" i="6"/>
  <c r="J145" i="6"/>
  <c r="J348" i="6"/>
  <c r="J61" i="6"/>
  <c r="J110" i="6"/>
  <c r="J146" i="6"/>
  <c r="J258" i="6"/>
  <c r="J354" i="6"/>
  <c r="J133" i="6"/>
  <c r="J173" i="6"/>
  <c r="J314" i="6"/>
  <c r="J272" i="6"/>
  <c r="J138" i="6"/>
  <c r="J309" i="6"/>
  <c r="J302" i="6"/>
  <c r="J54" i="6"/>
  <c r="J51" i="6"/>
  <c r="J42" i="6"/>
  <c r="J44" i="6"/>
  <c r="J37" i="6"/>
  <c r="J91" i="6"/>
  <c r="J189" i="6"/>
  <c r="J290" i="6"/>
  <c r="J116" i="6"/>
  <c r="J284" i="6"/>
  <c r="J287" i="6"/>
  <c r="J408" i="6"/>
  <c r="J153" i="6"/>
  <c r="J349" i="6"/>
  <c r="J403" i="6"/>
  <c r="J401" i="6"/>
  <c r="J201" i="6"/>
  <c r="J392" i="6"/>
  <c r="J394" i="6"/>
  <c r="J255" i="6"/>
  <c r="J115" i="6"/>
  <c r="J389" i="6"/>
  <c r="J404" i="6"/>
  <c r="J178" i="6"/>
  <c r="J335" i="6"/>
  <c r="J395" i="6"/>
  <c r="J391" i="6"/>
  <c r="J164" i="6"/>
  <c r="J326" i="6"/>
  <c r="J205" i="6"/>
  <c r="J259" i="6"/>
  <c r="J269" i="6"/>
  <c r="J98" i="6"/>
  <c r="J363" i="6"/>
  <c r="J66" i="6"/>
  <c r="J81" i="6"/>
  <c r="J411" i="6"/>
  <c r="J192" i="6"/>
  <c r="J221" i="6"/>
  <c r="J361" i="6"/>
  <c r="J285" i="6"/>
  <c r="J374" i="6"/>
  <c r="J385" i="6"/>
  <c r="J397" i="6"/>
  <c r="J144" i="6"/>
  <c r="J197" i="6"/>
  <c r="J69" i="6"/>
  <c r="J339" i="6"/>
  <c r="J409" i="6"/>
  <c r="J155" i="6"/>
  <c r="J355" i="6"/>
  <c r="J65" i="6"/>
  <c r="J228" i="6"/>
  <c r="J359" i="6"/>
  <c r="J175" i="6"/>
  <c r="J273" i="6"/>
  <c r="J68" i="6"/>
  <c r="J286" i="6"/>
  <c r="J170" i="6"/>
  <c r="J399" i="6"/>
  <c r="J157" i="6"/>
  <c r="J393" i="6"/>
  <c r="J193" i="6"/>
  <c r="J210" i="6"/>
  <c r="J104" i="6"/>
  <c r="J227" i="6"/>
  <c r="J357" i="6"/>
  <c r="J225" i="6"/>
  <c r="J95" i="6"/>
  <c r="J250" i="6"/>
  <c r="J367" i="6"/>
  <c r="J97" i="6"/>
  <c r="J256" i="6"/>
  <c r="J266" i="6"/>
  <c r="J156" i="6"/>
  <c r="J132" i="6"/>
  <c r="J283" i="6"/>
  <c r="J405" i="6"/>
  <c r="J398" i="6"/>
  <c r="J114" i="6"/>
  <c r="J396" i="6"/>
  <c r="J390" i="6"/>
  <c r="J105" i="6"/>
  <c r="J24" i="6"/>
  <c r="J152" i="6"/>
  <c r="J223" i="6"/>
  <c r="J353" i="6"/>
  <c r="J271" i="6"/>
  <c r="J70" i="6"/>
  <c r="J131" i="6"/>
  <c r="J99" i="6"/>
  <c r="J67" i="6"/>
  <c r="J137" i="6"/>
  <c r="J365" i="6"/>
  <c r="J56" i="6"/>
  <c r="K212" i="6"/>
  <c r="K213" i="6" s="1"/>
  <c r="C213" i="6"/>
  <c r="G212" i="6"/>
  <c r="G213" i="6" s="1"/>
</calcChain>
</file>

<file path=xl/sharedStrings.xml><?xml version="1.0" encoding="utf-8"?>
<sst xmlns="http://schemas.openxmlformats.org/spreadsheetml/2006/main" count="2001" uniqueCount="1051">
  <si>
    <t>¹ Essa linha apresentará valor somente no Relatório Resumido da Execução Orçamentária do último bimestre do exercício.</t>
  </si>
  <si>
    <t xml:space="preserve">        Dívida Mobiliária</t>
  </si>
  <si>
    <t xml:space="preserve">        Outras Dívidas</t>
  </si>
  <si>
    <t xml:space="preserve">    Amortização da Dívida Interna</t>
  </si>
  <si>
    <t xml:space="preserve">    Amortização da Dívida Externa</t>
  </si>
  <si>
    <t>RREO - Anexo XVIII (LRF, Art. 48)</t>
  </si>
  <si>
    <t>&lt;EXERCÍCIO ANTERIOR&gt;</t>
  </si>
  <si>
    <t>a Pagar</t>
  </si>
  <si>
    <t xml:space="preserve">    Receitas Previdenciárias (IV)</t>
  </si>
  <si>
    <t xml:space="preserve">    Despesas Previdenciárias (V)</t>
  </si>
  <si>
    <t xml:space="preserve">    RECEITAS CORRENTES</t>
  </si>
  <si>
    <t xml:space="preserve">            Impostos</t>
  </si>
  <si>
    <t xml:space="preserve">            Taxas</t>
  </si>
  <si>
    <t xml:space="preserve">            Contribuição de Melhoria</t>
  </si>
  <si>
    <t xml:space="preserve">            Contribuições Sociais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</si>
  <si>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</si>
  <si>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</si>
  <si>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</si>
  <si>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Outras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</si>
  <si>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</si>
  <si>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</si>
  <si>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</si>
  <si>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TRANSFERÊNCIAS CORRENTES</t>
  </si>
  <si>
    <t xml:space="preserve">            Transferências de Instituições Privadas</t>
  </si>
  <si>
    <t xml:space="preserve">            Transferências do Exterior</t>
  </si>
  <si>
    <t xml:space="preserve">        OUTRAS RECEITAS CORRENTES</t>
  </si>
  <si>
    <t xml:space="preserve">    RECEITAS DE CAPITAL</t>
  </si>
  <si>
    <t xml:space="preserve">        OPERAÇÕES DE CRÉDITO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</si>
  <si>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</si>
  <si>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</si>
  <si>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</si>
  <si>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</si>
  <si>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</si>
  <si>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</si>
  <si>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</si>
  <si>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</si>
  <si>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Mobiliária</t>
  </si>
  <si>
    <t xml:space="preserve">        Contratual</t>
  </si>
  <si>
    <t>SUBTOTAL COM REFINANCIAMENTO (V) = (III + IV)</t>
  </si>
  <si>
    <t>(b/total b)</t>
  </si>
  <si>
    <t xml:space="preserve">            Demais Despesas Previdenciárias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</si>
  <si>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</si>
  <si>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</si>
  <si>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</si>
  <si>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</si>
  <si>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</si>
  <si>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</si>
  <si>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</si>
  <si>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</si>
  <si>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 xml:space="preserve">  Créditos Adicionais</t>
  </si>
  <si>
    <t>RECEITAS E DESPESAS DOS REGIMES DE PREVIDÊNCIA</t>
  </si>
  <si>
    <t>RESTOS A PAGAR A PAGAR POR PODER E MINISTÉRIO PÚBLICO</t>
  </si>
  <si>
    <t>Mínimo Anual de &lt;18% / 25%&gt; das Receitas de Impostos na Manutenção e Desenvolvimento do Ensino</t>
  </si>
  <si>
    <t>DESPESAS COM MANUTENÇÃO E DESENVOLVIMENTO DO ENSINO</t>
  </si>
  <si>
    <t>Mínimo Anual de 60% do FUNDEB na Remuneração do Magistério com Ensino Fundamental e Médio</t>
  </si>
  <si>
    <t>Mínimo Anual de 60% do FUNDEB na Remuneração do Magistério com Educação Infantil e Ensino Fundamental</t>
  </si>
  <si>
    <t>Complementação da União ao FUNDEB</t>
  </si>
  <si>
    <t>Valor Apurado no Exercício Corrente</t>
  </si>
  <si>
    <t>DESPESAS DE CARÁTER CONTINUADO DERIVADAS DE  PPP</t>
  </si>
  <si>
    <t>RECEITAS (INTRA-ORÇAMENTÁRIAS) (II)</t>
  </si>
  <si>
    <t>SUBTOTAL DAS RECEITAS (III) = (I + 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</si>
  <si>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</si>
  <si>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</si>
  <si>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</si>
  <si>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</si>
  <si>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</si>
  <si>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</si>
  <si>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</si>
  <si>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</si>
  <si>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</si>
  <si>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>RESTOS A PAGAR (EXCETO INTRA-ORÇAMENTÁRIOS) (I)</t>
  </si>
  <si>
    <t>RESTOS A PAGAR (INTRA-ORÇAMENTÁRIOS) (II)</t>
  </si>
  <si>
    <t xml:space="preserve">    Resultado Previdenciário (III) = (I - II)</t>
  </si>
  <si>
    <t xml:space="preserve">    Resultado Previdenciário (VI) = (IV - V)</t>
  </si>
  <si>
    <t>RELATÓRIO RESUMIDO DA EXECUÇÃO ORÇAMENTÁRIA</t>
  </si>
  <si>
    <t>BALANÇO ORÇAMENTÁRIO</t>
  </si>
  <si>
    <t>ORÇAMENTOS FISCAL E DA SEGURIDADE SOCIAL</t>
  </si>
  <si>
    <t>PREVISÃO</t>
  </si>
  <si>
    <t>RECEITAS REALIZADAS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</si>
  <si>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</si>
  <si>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</si>
  <si>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</si>
  <si>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</si>
  <si>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</si>
  <si>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</si>
  <si>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</si>
  <si>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</si>
  <si>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</si>
  <si>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Tabela 3 - Demonstrativo da Receita Corrente Líquida</t>
  </si>
  <si>
    <t>Tabela 2 - Demonstrativo da Execução das Despesas por Função/Subfunção</t>
  </si>
  <si>
    <t>Tabela 1 - Balanço Orçamentário</t>
  </si>
  <si>
    <t xml:space="preserve">        Alienação de Bens, Direitos e Ativos</t>
  </si>
  <si>
    <t>PREVISÃO ORÇAMENTÁRIA</t>
  </si>
  <si>
    <t xml:space="preserve">        Receita de Contribuições dos Segurados</t>
  </si>
  <si>
    <t xml:space="preserve">                Ativo </t>
  </si>
  <si>
    <t xml:space="preserve">                Inativo </t>
  </si>
  <si>
    <t xml:space="preserve">                Pensionista </t>
  </si>
  <si>
    <t xml:space="preserve">                Ativo</t>
  </si>
  <si>
    <t xml:space="preserve">                Inativo</t>
  </si>
  <si>
    <t xml:space="preserve">            Demais Receitas Correntes</t>
  </si>
  <si>
    <t>2 Este Demonstrativo utiliza as seguintes hipóteses:
&lt;HIPÓTESE&gt;: &lt;VALOR&gt;</t>
  </si>
  <si>
    <t>SALDO FINANCEIRO</t>
  </si>
  <si>
    <t xml:space="preserve"> DO EXERCÍCIO</t>
  </si>
  <si>
    <t xml:space="preserve">DEMONSTRATIVO DA PROJEÇÃO ATUARIAL DO REGIME PRÓPRIO DE PREVIDÊNCIA DOS SERVIDORES </t>
  </si>
  <si>
    <t>APLICAÇÃO DOS RECURSOS DA ALIENAÇÃO DE ATIVOS (II)</t>
  </si>
  <si>
    <t>VALOR (III)</t>
  </si>
  <si>
    <t>(c)</t>
  </si>
  <si>
    <t>(c/a)</t>
  </si>
  <si>
    <t>(a-c)</t>
  </si>
  <si>
    <t>DOTAÇÃO</t>
  </si>
  <si>
    <t>DESPESAS EMPENHADAS</t>
  </si>
  <si>
    <t>DESPESAS LIQUIDADAS</t>
  </si>
  <si>
    <t>DESPESAS</t>
  </si>
  <si>
    <t>SALDO</t>
  </si>
  <si>
    <t>(d)</t>
  </si>
  <si>
    <t>(e)</t>
  </si>
  <si>
    <t>(g)</t>
  </si>
  <si>
    <t>(h)</t>
  </si>
  <si>
    <t>DESPESAS CORRENTES</t>
  </si>
  <si>
    <t>DESPESAS DE CAPITAL</t>
  </si>
  <si>
    <t>DEMONSTRATIVO DA EXECUÇÃO DAS DESPESAS POR FUNÇÃO/SUBFUNÇÃO</t>
  </si>
  <si>
    <t>FUNÇÃO/SUBFUNÇÃO</t>
  </si>
  <si>
    <t>TOTAL</t>
  </si>
  <si>
    <t>DEMONSTRATIVO DA RECEITA CORRENTE LÍQUIDA</t>
  </si>
  <si>
    <t>EVOLUÇÃO DA RECEITA REALIZADA NOS ÚLTIMOS 12 MESES</t>
  </si>
  <si>
    <t>ESPECIFICAÇÃO</t>
  </si>
  <si>
    <t>(ÚLTIMOS</t>
  </si>
  <si>
    <t>12 MESES)</t>
  </si>
  <si>
    <t>&lt;EXERCÍCIO&gt;</t>
  </si>
  <si>
    <t>RECEITAS CORRENTES (I)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</si>
  <si>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</si>
  <si>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</si>
  <si>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</si>
  <si>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</si>
  <si>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Transferências Correntes</t>
  </si>
  <si>
    <t xml:space="preserve">    Outras Receitas Correntes</t>
  </si>
  <si>
    <t>DEDUÇÕES (II)</t>
  </si>
  <si>
    <t xml:space="preserve">    Receita de Serviços</t>
  </si>
  <si>
    <t>ORÇAMENTO DA SEGURIDADE SOCIAL</t>
  </si>
  <si>
    <t>RECEITAS DO ENSINO</t>
  </si>
  <si>
    <t>(c) = (b/a)x100</t>
  </si>
  <si>
    <t>1- RECEITA DE IMPOSTOS</t>
  </si>
  <si>
    <t>FUNDEB</t>
  </si>
  <si>
    <t>RECEITAS DO FUNDEB</t>
  </si>
  <si>
    <t>DESPESAS DO FUNDEB</t>
  </si>
  <si>
    <t>(f) = (e/d)x100</t>
  </si>
  <si>
    <t>RESTOS A PAGAR INSCRITOS COM DISPONIBILIDADE FINANCEIRA
DE RECURSOS DE IMPOSTOS VINCULADOS AO ENSINO</t>
  </si>
  <si>
    <t xml:space="preserve">
ESPECIFICAÇÃO</t>
  </si>
  <si>
    <t>REGISTROS EFETUADOS EM &lt;EXERCÍCIO&gt;</t>
  </si>
  <si>
    <t>TOTAL DE ATIVOS</t>
  </si>
  <si>
    <t xml:space="preserve">    Provisões de PPP</t>
  </si>
  <si>
    <t>DESPESAS DE PPP</t>
  </si>
  <si>
    <t>Das Estatais Não-Dependentes</t>
  </si>
  <si>
    <t>DEMONSTRATIVO DAS PARCERIAS PÚBLICO-PRIVADAS</t>
  </si>
  <si>
    <t>(EC)</t>
  </si>
  <si>
    <t>CORRENTE</t>
  </si>
  <si>
    <t xml:space="preserve">EXERCÍCIO </t>
  </si>
  <si>
    <t>ANTERIOR</t>
  </si>
  <si>
    <t>Até o Bimestre/</t>
  </si>
  <si>
    <t>&lt;Exercício&gt;</t>
  </si>
  <si>
    <t>&lt;Exercício Anterior&gt;</t>
  </si>
  <si>
    <t xml:space="preserve">    Despesas de Capital</t>
  </si>
  <si>
    <t xml:space="preserve">    Pessoal e Encargos Sociais</t>
  </si>
  <si>
    <t xml:space="preserve">    Outras Despesas Correntes</t>
  </si>
  <si>
    <t>PERÍODO DE REFERÊNCIA</t>
  </si>
  <si>
    <t>VALOR</t>
  </si>
  <si>
    <t xml:space="preserve">Total das Despesas / RCL (%) </t>
  </si>
  <si>
    <t>DEMONSTRATIVO DOS RESTOS A PAGAR POR PODER E ÓRGÃO</t>
  </si>
  <si>
    <t>Inscritos</t>
  </si>
  <si>
    <t>PODER/ÓRGÃO</t>
  </si>
  <si>
    <t>Cancelados</t>
  </si>
  <si>
    <t>Pagos</t>
  </si>
  <si>
    <t>Anteriores</t>
  </si>
  <si>
    <t>&lt;Exercício</t>
  </si>
  <si>
    <t>Anterior&gt;</t>
  </si>
  <si>
    <t>DESPESAS (EXCETO INTRA-ORÇAMENTÁRIAS) (I)</t>
  </si>
  <si>
    <t>DESPESAS (INTRA-ORÇAMENTÁRIAS) (II)</t>
  </si>
  <si>
    <t>TOTAL (III) = (I + II)</t>
  </si>
  <si>
    <t xml:space="preserve">    Compensação Financ. entre Regimes Previdência</t>
  </si>
  <si>
    <t>(b/a) x 100</t>
  </si>
  <si>
    <t>(d/c) x 100</t>
  </si>
  <si>
    <t xml:space="preserve">    Dedução de Receita para Formação do FUNDEB</t>
  </si>
  <si>
    <t>&lt;MR–11&gt;</t>
  </si>
  <si>
    <t>&lt;MR–10&gt;</t>
  </si>
  <si>
    <t>&lt;MR–9&gt;</t>
  </si>
  <si>
    <t>&lt;MR–8&gt;</t>
  </si>
  <si>
    <t>&lt;MR–7&gt;</t>
  </si>
  <si>
    <t>&lt;MR–6&gt;</t>
  </si>
  <si>
    <t>&lt;MR–5&gt;</t>
  </si>
  <si>
    <t>&lt;MR–4&gt;</t>
  </si>
  <si>
    <t>&lt;MR–3&gt;</t>
  </si>
  <si>
    <t>&lt;MR–2&gt;</t>
  </si>
  <si>
    <t>&lt;MR–1&gt;</t>
  </si>
  <si>
    <t>&lt;MR&gt;</t>
  </si>
  <si>
    <t xml:space="preserve">        Receita de Serviços</t>
  </si>
  <si>
    <t xml:space="preserve">            Compensação Previdenciária do RGPS para o RPPS</t>
  </si>
  <si>
    <t xml:space="preserve">        Amortização de Empréstimos</t>
  </si>
  <si>
    <t xml:space="preserve">            Compensação Previdenciária do RPPS para o RGPS</t>
  </si>
  <si>
    <t>DEMONSTRATIVO DAS RECEITAS E DESPESAS COM MANUTENÇÃO E DESENVOLVIMENTO DO ENSINO - MDE</t>
  </si>
  <si>
    <t>Outras Subfunções</t>
  </si>
  <si>
    <t>(f)</t>
  </si>
  <si>
    <t>LIQUIDADAS</t>
  </si>
  <si>
    <t>RECEITA CORRENTE LÍQUIDA (III) = (I - II)</t>
  </si>
  <si>
    <t>DEMONSTRATIVO DAS RECEITAS DE OPERAÇÕES DE CRÉDITO E DESPESAS DE CAPITAL</t>
  </si>
  <si>
    <t>DESPESA DE CAPITAL LÍQUIDA (II)</t>
  </si>
  <si>
    <t>EXERCÍCIO</t>
  </si>
  <si>
    <t>DEMONSTRATIVO DA RECEITA DE ALIENAÇÃO DE ATIVOS E APLICAÇÃO DOS RECURSOS</t>
  </si>
  <si>
    <t>PREVISÃO ATUALIZADA</t>
  </si>
  <si>
    <t>DOTAÇÃO ATUALIZADA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</si>
  <si>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</si>
  <si>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</si>
  <si>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</si>
  <si>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</si>
  <si>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Próprio dos Servidores Públicos</t>
  </si>
  <si>
    <t>SALDO ATUAL</t>
  </si>
  <si>
    <t>SALDO FINANCEIRO A APLICAR</t>
  </si>
  <si>
    <t>DESPESAS COM SAÚDE</t>
  </si>
  <si>
    <t>(Por Grupo de Natureza da Despesa)</t>
  </si>
  <si>
    <t xml:space="preserve">    Juros e Encargos da Dívida</t>
  </si>
  <si>
    <t xml:space="preserve">    Investimentos </t>
  </si>
  <si>
    <t xml:space="preserve">    Inversões Financeiras</t>
  </si>
  <si>
    <t xml:space="preserve">    Amortização da Dívida</t>
  </si>
  <si>
    <t>DESPESAS COM AÇÕES E SERVIÇOS PÚBLICOS DE SAÚDE</t>
  </si>
  <si>
    <t>(Por Subfunção)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</si>
  <si>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</si>
  <si>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</si>
  <si>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</si>
  <si>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</si>
  <si>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</si>
  <si>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</si>
  <si>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DEMONSTRATIVO SIMPLIFICADO DO RELATÓRIO RESUMIDO DA EXECUÇÃO ORÇAMENTÁRIA</t>
  </si>
  <si>
    <t>Despesas Empenhadas</t>
  </si>
  <si>
    <t>Despesas Liquidadas</t>
  </si>
  <si>
    <t>DESPESAS POR FUNÇÃO/SUBFUNÇÃO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</si>
  <si>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</si>
  <si>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</si>
  <si>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</si>
  <si>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</si>
  <si>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</si>
  <si>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</si>
  <si>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</si>
  <si>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</si>
  <si>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</si>
  <si>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TOTAL DAS DESPESAS</t>
  </si>
  <si>
    <t>RECEITA CORRENTE LÍQUIDA - RCL</t>
  </si>
  <si>
    <t>Receita Corrente Líquida</t>
  </si>
  <si>
    <t>Regime Geral de Previdência Social</t>
  </si>
  <si>
    <t xml:space="preserve">    Receitas Previdenciárias (I)</t>
  </si>
  <si>
    <t xml:space="preserve">    Despesas Previdenciárias (II)</t>
  </si>
  <si>
    <t>Meta Fixada no</t>
  </si>
  <si>
    <t>Resultado Apurado</t>
  </si>
  <si>
    <t>% em Relação à Meta</t>
  </si>
  <si>
    <t>RESULTADOS NOMINAL E PRIMÁRIO</t>
  </si>
  <si>
    <t>Anexo de Metas</t>
  </si>
  <si>
    <t>Fiscais da LDO</t>
  </si>
  <si>
    <t>Resultado Nominal</t>
  </si>
  <si>
    <t>Resultado Primário</t>
  </si>
  <si>
    <t>Inscrição</t>
  </si>
  <si>
    <t>Cancelamento</t>
  </si>
  <si>
    <t xml:space="preserve">Saldo 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</si>
  <si>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</si>
  <si>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</si>
  <si>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</si>
  <si>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</si>
  <si>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</si>
  <si>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</si>
  <si>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Valor Apurado</t>
  </si>
  <si>
    <t>Limites Constitucionais Anuais</t>
  </si>
  <si>
    <t>% Mínimo a</t>
  </si>
  <si>
    <t xml:space="preserve">    LEGISLATIVA</t>
  </si>
  <si>
    <t xml:space="preserve">    JUDICIÁRIA</t>
  </si>
  <si>
    <t xml:space="preserve">    ESSENCIAL A JUSTIÇA</t>
  </si>
  <si>
    <t xml:space="preserve">RECEITAS </t>
  </si>
  <si>
    <t>PREVIDENCIÁRIAS</t>
  </si>
  <si>
    <t>RESULTADO</t>
  </si>
  <si>
    <t>PREVIDENCIÁRIO</t>
  </si>
  <si>
    <t>(c) = (a - b)</t>
  </si>
  <si>
    <t>(d) = (“d” exerc. Anterior) + (c)</t>
  </si>
  <si>
    <t>(c) = (a-b)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</si>
  <si>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</si>
  <si>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</si>
  <si>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</si>
  <si>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</si>
  <si>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</si>
  <si>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</si>
  <si>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</si>
  <si>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</si>
  <si>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</si>
  <si>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</si>
  <si>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</si>
  <si>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</si>
  <si>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</si>
  <si>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</si>
  <si>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</si>
  <si>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</si>
  <si>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</si>
  <si>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</si>
  <si>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</si>
  <si>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</si>
  <si>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</si>
  <si>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</si>
  <si>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</si>
  <si>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</si>
  <si>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</si>
  <si>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 xml:space="preserve">            Pessoal Civil</t>
  </si>
  <si>
    <t xml:space="preserve">            Pessoal Militar</t>
  </si>
  <si>
    <t xml:space="preserve">        Outras Receitas Correntes</t>
  </si>
  <si>
    <t xml:space="preserve">        Outras Receitas de Capital</t>
  </si>
  <si>
    <t xml:space="preserve">        Despesas Correntes</t>
  </si>
  <si>
    <t xml:space="preserve">        Despesas de Capital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</si>
  <si>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</si>
  <si>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</si>
  <si>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</si>
  <si>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    Reformas</t>
  </si>
  <si>
    <t xml:space="preserve">       Outras Despesas Previdenciárias</t>
  </si>
  <si>
    <t>Aplicar no Exercício</t>
  </si>
  <si>
    <t>RECEITAS DE OPERAÇÕES DE CRÉDITO E DESPESAS DE CAPITAL</t>
  </si>
  <si>
    <t>Valor Apurado Até o Bimestre</t>
  </si>
  <si>
    <t>Saldo a Realizar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</si>
  <si>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</si>
  <si>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</si>
  <si>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</si>
  <si>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</si>
  <si>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</si>
  <si>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</si>
  <si>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</si>
  <si>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RECEITA DA ALIENAÇÃO DE ATIVOS E APLICAÇÃO DOS RECURSOS</t>
  </si>
  <si>
    <t>Receita de Capital Resultante da Alienação de Ativos</t>
  </si>
  <si>
    <t>Aplicação dos Recursos da Alienação de Ativos</t>
  </si>
  <si>
    <t>Valor apurado</t>
  </si>
  <si>
    <t>Limite Constitucional Anual</t>
  </si>
  <si>
    <t xml:space="preserve">    Operações de Crédito Internas</t>
  </si>
  <si>
    <t xml:space="preserve">    Operações de Crédito Externas</t>
  </si>
  <si>
    <t xml:space="preserve">        Receita Patrimonial</t>
  </si>
  <si>
    <t>RESTOS A PAGAR NÃO PROCESSADOS</t>
  </si>
  <si>
    <t xml:space="preserve">  Previsão Inicial </t>
  </si>
  <si>
    <t xml:space="preserve">  Previsão Atualizada </t>
  </si>
  <si>
    <t xml:space="preserve">Regime Próprio de Previdência dos Servidores </t>
  </si>
  <si>
    <t>RECEITA RESULTANTE DE IMPOSTOS (caput do art. 212 da Constituição)</t>
  </si>
  <si>
    <t xml:space="preserve">2- RECEITA DE TRANSFERÊNCIAS CONSTITUCIONAIS E LEGAIS </t>
  </si>
  <si>
    <t>DESPESAS COM AÇÕES TÍPICAS DE MDE</t>
  </si>
  <si>
    <t>DEDUÇÕES CONSIDERADAS PARA FINS DE LIMITE CONSTITUCIONAL</t>
  </si>
  <si>
    <t>OUTRAS INFORMAÇÕES PARA CONTROLE</t>
  </si>
  <si>
    <t>(c) = (a – b)</t>
  </si>
  <si>
    <t>INSCRITAS EM RESTOS A PAGAR NÃO PROCESSADOS</t>
  </si>
  <si>
    <t>(-) Incentivos Fiscais a Contribuinte</t>
  </si>
  <si>
    <t xml:space="preserve">RESULTADO PARA APURAÇÃO DA </t>
  </si>
  <si>
    <t>REGRA DE OURO (III) = (I – II)</t>
  </si>
  <si>
    <t xml:space="preserve">Notas: </t>
  </si>
  <si>
    <t>Saldo não realizado</t>
  </si>
  <si>
    <t>(j)</t>
  </si>
  <si>
    <t>(k)</t>
  </si>
  <si>
    <t>RECEITAS DE OPERAÇÕES DE CRÉDITO VINCULADAS À SAÚDE</t>
  </si>
  <si>
    <t>(i)</t>
  </si>
  <si>
    <t>TRANSFERÊNCIA DE RECURSOS DO SISTEMA ÚNICO DE SAÚDE-SUS</t>
  </si>
  <si>
    <t>RREO - Anexo 1 (LRF, Art. 52, inciso I, alíneas "a" e "b" do inciso II e §1º)</t>
  </si>
  <si>
    <t>RECEITAS (EXCETO INTRA-ORÇAMENTÁRIAS) (I)</t>
  </si>
  <si>
    <t>OPERAÇÕES DE CRÉDITO / REFINANCIAMENTO  (IV)</t>
  </si>
  <si>
    <t>RREO - Anexo 2 (LRF, Art. 52, inciso II, alínea "c")</t>
  </si>
  <si>
    <t>RREO - Anexo 3 (LRF, Art. 53, inciso I)</t>
  </si>
  <si>
    <t xml:space="preserve">    Contrib. do Servidor para o Plano de Previdência </t>
  </si>
  <si>
    <t>RREO - Anexo 4 (LRF, Art. 53, inciso II)</t>
  </si>
  <si>
    <t>Tabela 7 - Demonstrativo dos Restos a Pagar por Poder e Órgão</t>
  </si>
  <si>
    <t>RREO - ANEXO 7 (LRF, art. 53, inciso V)</t>
  </si>
  <si>
    <t>Tabela 9 – Demonstrativo das Receitas de Operações de Crédito e Despesas de Capital</t>
  </si>
  <si>
    <t xml:space="preserve"> RREO – ANEXO 9 (LRF, art.53, § 1º, inciso I) </t>
  </si>
  <si>
    <t>SALDO NÃO EXECUTADO</t>
  </si>
  <si>
    <t>RREO – ANEXO 11 (LRF, art. 53, § 1º, inciso III )</t>
  </si>
  <si>
    <t>RREO – ANEXO 10 (LRF, art. 53, § 1º, inciso II)</t>
  </si>
  <si>
    <t xml:space="preserve">Tabela 10.1 - Demonstrativo da Projeção Atuarial do Regime Próprio de Previdência dos Servidores </t>
  </si>
  <si>
    <t>Tabela 11 - Demonstrativo da Receita de Alienação de Ativos e Aplicação dos Recursos</t>
  </si>
  <si>
    <t>Tabela 13 - Demonstrativo das Parcerias Público Privadas</t>
  </si>
  <si>
    <t>RREO - Anexo 13 (Lei nº 11.079, de 30.12.2004, arts. 22, 25 e 28)</t>
  </si>
  <si>
    <t>Tabela 14 - Demonstrativo Simplificado do Relatório Resumido da Execução Orçamentária</t>
  </si>
  <si>
    <t>DESPESAS COM SAÚDE NÃO COMPUTADAS PARA FINS DE APURAÇÃO DO PERCENTUAL MÍNIMO</t>
  </si>
  <si>
    <t>DESPESAS COM INATIVOS E PENSIONISTAS</t>
  </si>
  <si>
    <t>DESPESA COM ASSISTÊNCIA À SAÚDE QUE NÃO ATENDE AO PRINCÍPIO DE ACESSO UNIVERSAL</t>
  </si>
  <si>
    <t xml:space="preserve">   Recursos de Operações de Crédito</t>
  </si>
  <si>
    <t xml:space="preserve">   Outros Recursos</t>
  </si>
  <si>
    <t>OUTRAS AÇÕES E SERVIÇOS NÃO COMPUTADOS</t>
  </si>
  <si>
    <t>PAGOS</t>
  </si>
  <si>
    <t>A PAGAR</t>
  </si>
  <si>
    <t>Inscritos em &lt;Exercício de Referência&gt;</t>
  </si>
  <si>
    <t>Total</t>
  </si>
  <si>
    <t>CONTROLE DOS RESTOS A PAGAR CANCELADOS OU PRESCRITOS PARA FINS DE APLICAÇÃO DA DISPONIBILIDADE DE CAIXA CONFORME ARTIGO 24, § 1º e 2º</t>
  </si>
  <si>
    <t>Saldo Inicial</t>
  </si>
  <si>
    <t>Despesas custeadas no exercício de referência</t>
  </si>
  <si>
    <t>Saldo Final (Não Aplicado)</t>
  </si>
  <si>
    <t>Restos a Pagar Cancelados ou Prescritos em &lt;Exercício de Referência&gt;</t>
  </si>
  <si>
    <t>LIMITE NÃO CUMPRIDO</t>
  </si>
  <si>
    <t xml:space="preserve">Diferença de limite não cumprido em &lt;Exercício de Referência - 1&gt; </t>
  </si>
  <si>
    <t>Total (IX)</t>
  </si>
  <si>
    <t>(l)</t>
  </si>
  <si>
    <t>(l/total l) x 100</t>
  </si>
  <si>
    <t>(m)</t>
  </si>
  <si>
    <t>(m/total m) x 100</t>
  </si>
  <si>
    <t>DEMONSTRATIVO DAS RECEITAS E DESPESAS COM AÇÕES E SERVIÇOS PÚBLICOS DE SAÚDE</t>
  </si>
  <si>
    <t>RECEITAS PARA APURAÇÃO DA APLICAÇÃO EM AÇÕES E SERVIÇOS PÚBLICOS DE SAÚDE</t>
  </si>
  <si>
    <t xml:space="preserve">   Imposto de Renda Retido na Fonte - IRRF</t>
  </si>
  <si>
    <t>RECEITAS ADICIONAIS PARA FINANCIAMENTO DA SAÚDE</t>
  </si>
  <si>
    <t xml:space="preserve">   Provenientes da União</t>
  </si>
  <si>
    <t>TRANSFERÊNCIAS VOLUNTÁRIAS</t>
  </si>
  <si>
    <t>TOTAL RECEITAS ADICIONAIS PARA FINANCIAMENTO DA SAÚDE</t>
  </si>
  <si>
    <t>(f/e) x 100</t>
  </si>
  <si>
    <t>(g/e) x 100</t>
  </si>
  <si>
    <t xml:space="preserve">DESPESAS CUSTEADAS COM OUTROS RECURSOS </t>
  </si>
  <si>
    <t xml:space="preserve">   Recursos de Transferência do Sistema Único de Saúde - SUS</t>
  </si>
  <si>
    <t>RECEITA DE IMPOSTOS LÍQUIDA (I)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</si>
  <si>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</si>
  <si>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</si>
  <si>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</si>
  <si>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</si>
  <si>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</si>
  <si>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</si>
  <si>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</si>
  <si>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RREO – ANEXO  12 (LC 141/2012, art. 35)</t>
  </si>
  <si>
    <t>FONTE: Sistema &lt;sistema&gt;, Unidade Responsável: &lt;Unidade Responsável&gt;. Emissão: &lt;dd/mm/aaaa&gt;, às &lt;hh:mm:ss&gt;. Assinado Digitalmente no dia &lt;dd/mm/aaaa&gt;, às &lt;hh:mm:ss&gt;.</t>
  </si>
  <si>
    <t>Em Reais</t>
  </si>
  <si>
    <t>Ação Legislativa</t>
  </si>
  <si>
    <t>Controle Externo</t>
  </si>
  <si>
    <t>Demais Subfunções</t>
  </si>
  <si>
    <t>Ação Judiciária</t>
  </si>
  <si>
    <t>Defesa do Interesse Público no Processo Judiciário</t>
  </si>
  <si>
    <t>Defesa da Ordem Jurídica</t>
  </si>
  <si>
    <t>Representação Judicial e Extrajudicial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</si>
  <si>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</si>
  <si>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</si>
  <si>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</si>
  <si>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</si>
  <si>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</si>
  <si>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</si>
  <si>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Ordenamento Territorial</t>
  </si>
  <si>
    <t>Formação de Recursos Humanos</t>
  </si>
  <si>
    <t>Administração de Receitas</t>
  </si>
  <si>
    <t>Administração de Concessões</t>
  </si>
  <si>
    <t>Comunicação Social</t>
  </si>
  <si>
    <t>Defesa Aérea</t>
  </si>
  <si>
    <t>Defesa Naval</t>
  </si>
  <si>
    <t>Defesa Terrestre</t>
  </si>
  <si>
    <t>Policiamento</t>
  </si>
  <si>
    <t>Defesa Civil</t>
  </si>
  <si>
    <t>Informação e Inteligência</t>
  </si>
  <si>
    <t>Relações Diplomáticas</t>
  </si>
  <si>
    <t>Cooperação Internacional</t>
  </si>
  <si>
    <t>Assistência ao Idoso</t>
  </si>
  <si>
    <t>Assistência ao Portador de Deficiência</t>
  </si>
  <si>
    <t>Assistência à Criança e ao Adolescente</t>
  </si>
  <si>
    <t>Assistência Comunitária</t>
  </si>
  <si>
    <t>Previdência Básica</t>
  </si>
  <si>
    <t>Previdência do Regime Estatutário</t>
  </si>
  <si>
    <t>Previdência Complementar</t>
  </si>
  <si>
    <t>Previdência Especial</t>
  </si>
  <si>
    <t>Proteção e Benefícios ao Trabalhador</t>
  </si>
  <si>
    <t>Relações de Trabalho</t>
  </si>
  <si>
    <t>Empregabilidade</t>
  </si>
  <si>
    <t>Fomento ao Trabalho</t>
  </si>
  <si>
    <t>Ensino Fundamental</t>
  </si>
  <si>
    <t>Ensino Médio</t>
  </si>
  <si>
    <t>Ensino Profissional</t>
  </si>
  <si>
    <t>Ensino Superior</t>
  </si>
  <si>
    <t>Educação Infantil</t>
  </si>
  <si>
    <t>Educação de Jovens e Adultos</t>
  </si>
  <si>
    <t>Educação Especial</t>
  </si>
  <si>
    <t>Patrimônio Histórico, Artístico e Arqueológico</t>
  </si>
  <si>
    <t>Difusão Cultural</t>
  </si>
  <si>
    <t>Custódia e Reintegração Social</t>
  </si>
  <si>
    <t>Direitos Individuais, Coletivos e Difusos</t>
  </si>
  <si>
    <t>Assistência aos Povos Indígenas</t>
  </si>
  <si>
    <t>Infra-Estrutura Urbana</t>
  </si>
  <si>
    <t>Serviços Urbanos</t>
  </si>
  <si>
    <t>Transportes Coletivos Urbanos</t>
  </si>
  <si>
    <t>Habitação Rural</t>
  </si>
  <si>
    <t>Habitação Urbana</t>
  </si>
  <si>
    <t>Saneamento Básico Rural</t>
  </si>
  <si>
    <t>Saneamento Básico Urbano</t>
  </si>
  <si>
    <t>Preservação e Conservação Ambiental</t>
  </si>
  <si>
    <t>Controle Ambiental</t>
  </si>
  <si>
    <t>Recuperação de Áreas Degradadas</t>
  </si>
  <si>
    <t>Recursos Hídricos</t>
  </si>
  <si>
    <t>Meteorologia</t>
  </si>
  <si>
    <t>Desenvolvimento Científico</t>
  </si>
  <si>
    <t>Desenvolvimento Tecnológico e Engenharia</t>
  </si>
  <si>
    <t>Difusão do Conhecimento Científico e Tecnológico</t>
  </si>
  <si>
    <t>Abastecimento</t>
  </si>
  <si>
    <t>Extensão Rural</t>
  </si>
  <si>
    <t>Irrigação</t>
  </si>
  <si>
    <t>Reforma Agrária</t>
  </si>
  <si>
    <t>Colonização</t>
  </si>
  <si>
    <t>Promoção Industrial</t>
  </si>
  <si>
    <t>Produção Industrial</t>
  </si>
  <si>
    <t>Mineração</t>
  </si>
  <si>
    <t>Propriedade Industrial</t>
  </si>
  <si>
    <t>Normalização e Qualidade</t>
  </si>
  <si>
    <t>Promoção Comercial</t>
  </si>
  <si>
    <t>Comercialização</t>
  </si>
  <si>
    <t>Comércio Exterior</t>
  </si>
  <si>
    <t>Serviços Financeiros</t>
  </si>
  <si>
    <t>Turismo</t>
  </si>
  <si>
    <t>Comunicações Postais</t>
  </si>
  <si>
    <t>Telecomunicações</t>
  </si>
  <si>
    <t>Conservação de Energia</t>
  </si>
  <si>
    <t>Energia Elétrica</t>
  </si>
  <si>
    <t>Petróleo</t>
  </si>
  <si>
    <t>Álcool</t>
  </si>
  <si>
    <t>Transporte Áereo</t>
  </si>
  <si>
    <t>Transporte Rodoviário</t>
  </si>
  <si>
    <t>Transporte Ferroviário</t>
  </si>
  <si>
    <t>Transporte Hidroviário</t>
  </si>
  <si>
    <t>Transportes Especiais</t>
  </si>
  <si>
    <t>Desporto de Rendimento</t>
  </si>
  <si>
    <t>Desporto Comunitário</t>
  </si>
  <si>
    <t>Lazer</t>
  </si>
  <si>
    <t>Refinanciamento da Dívida Interna</t>
  </si>
  <si>
    <t>Refinanciamento da Dívida Externa</t>
  </si>
  <si>
    <t>Serviço da Dívida Interna</t>
  </si>
  <si>
    <t>Serviço da Dívida Externa</t>
  </si>
  <si>
    <t>Transferências</t>
  </si>
  <si>
    <t>Outros Encargos Especiais</t>
  </si>
  <si>
    <t xml:space="preserve">         IRRF</t>
  </si>
  <si>
    <t xml:space="preserve">         Transferências da LC 87/1996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</si>
  <si>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</si>
  <si>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</si>
  <si>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</si>
  <si>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>RECEITAS DE ALIENAÇÃO DE ATIVOS (I)</t>
  </si>
  <si>
    <t>PREVISÃO INICIAL</t>
  </si>
  <si>
    <t>1 Essa coluna poderá ser apresentada somente no último bimestre</t>
  </si>
  <si>
    <t>Saldo</t>
  </si>
  <si>
    <t>Liquidados</t>
  </si>
  <si>
    <t xml:space="preserve">DOTAÇÃO </t>
  </si>
  <si>
    <t xml:space="preserve">DESPESAS </t>
  </si>
  <si>
    <t>EMPENHADAS</t>
  </si>
  <si>
    <t>(f) = (d – e)</t>
  </si>
  <si>
    <t>Despesas com Ações e Serviços Públicos de Saúde executadas com recursos de impostos</t>
  </si>
  <si>
    <t xml:space="preserve"> Em &lt;Exercício&gt;</t>
  </si>
  <si>
    <t>Em &lt;Exercício Anterior&gt;</t>
  </si>
  <si>
    <t>APORTES REALIZADOS</t>
  </si>
  <si>
    <t>DEDUÇÕES PARA FINS DO LIMITE DO FUNDEB</t>
  </si>
  <si>
    <t>INDICADORES DO FUNDEB</t>
  </si>
  <si>
    <t>FLUXO FINANCEIRO DOS RECURSOS DO FUNDEB</t>
  </si>
  <si>
    <t>Inscritos em &lt;Exercício de Referência - 4&gt;</t>
  </si>
  <si>
    <t>Inscritos em &lt;Exercícios Anteriores ao de Referência - 4 (Somatório)&gt;</t>
  </si>
  <si>
    <t>RESTOS A PAGAR CANCELADOS OU PRESCRITOS</t>
  </si>
  <si>
    <t xml:space="preserve">Restos a Pagar Cancelados ou Prescritos em &lt;Exercício de Referência - 4&gt; </t>
  </si>
  <si>
    <t>Restos a Pagar Cancelados ou Prescritos em &lt;Exercícios Anteriores ao de Referência - 4 (Somatório)&gt;</t>
  </si>
  <si>
    <t xml:space="preserve">Diferença de limite não cumprido em &lt;Exercício de Referência - 5&gt; </t>
  </si>
  <si>
    <t>Diferença de limite não cumprido em &lt;Exercícios Anteriores ao de Referência – 5 (Somatório)&gt;</t>
  </si>
  <si>
    <t>RECEITA DE TRANSFERÊNCIAS CONSTITUCIONAIS E LEGAIS (II)</t>
  </si>
  <si>
    <t xml:space="preserve">   Outras Receitas do SUS</t>
  </si>
  <si>
    <t>OUTRAS RECEITAS PARA FINANCIAMENTO DA SAÚDE</t>
  </si>
  <si>
    <t>EXECUÇÃO DE RESTOS A PAGAR NÃO PROCESSADOS INSCRITOS COM DISPONIBILDADE DE CAIXA</t>
  </si>
  <si>
    <t xml:space="preserve"> CONTROLE DO VALOR REFERENTE AO PERCENTUAL MÍNIMO NÃO CUMPRIDO EM EXERCÍCIOS ANTERIORES PARA FINS DE APLICAÇÃO DOS RECURSOS VINCULADOS CONFORME ARTIGOS 25 E 26</t>
  </si>
  <si>
    <t>(h) = (g/d)x100</t>
  </si>
  <si>
    <t>Saldo Total (a+b)</t>
  </si>
  <si>
    <t>3- TOTAL DA RECEITA DE IMPOSTOS (1 + 2)</t>
  </si>
  <si>
    <t>INSCRITOS</t>
  </si>
  <si>
    <t>CANCELADOS/    PRESCRITOS</t>
  </si>
  <si>
    <t>PARCELA CONSIDERADA NO LIMITE</t>
  </si>
  <si>
    <t>PODER EXECUTIVO</t>
  </si>
  <si>
    <t>RESTOS A PAGAR PROCESSADOS E NÃO PROCESSADOS LIQUIDADOS EM EXERCÍCIOS ANTERIORES</t>
  </si>
  <si>
    <t>PODER LEGISLATIVO</t>
  </si>
  <si>
    <r>
      <t>INSCRITAS EM RESTOS A PAGAR NÃO PROCESSADOS</t>
    </r>
    <r>
      <rPr>
        <vertAlign val="superscript"/>
        <sz val="10"/>
        <rFont val="Times New Roman"/>
        <family val="1"/>
      </rPr>
      <t>6</t>
    </r>
  </si>
  <si>
    <r>
      <t>5</t>
    </r>
    <r>
      <rPr>
        <sz val="10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</si>
  <si>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r>
      <t>4</t>
    </r>
    <r>
      <rPr>
        <sz val="10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</si>
  <si>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3</t>
    </r>
    <r>
      <rPr>
        <sz val="10"/>
        <rFont val="Times New Roman"/>
        <family val="1"/>
      </rPr>
      <t xml:space="preserve"> Caput do artigo 212 da CF/1988</t>
    </r>
  </si>
  <si>
    <r>
      <t>2</t>
    </r>
    <r>
      <rPr>
        <sz val="10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   </t>
    </r>
  </si>
  <si>
    <r>
      <t>1</t>
    </r>
    <r>
      <rPr>
        <sz val="10"/>
        <rFont val="Times New Roman"/>
        <family val="1"/>
      </rPr>
      <t xml:space="preserve"> Limites mínimos anuais a serem cumpridos no encerramento do exercício.</t>
    </r>
  </si>
  <si>
    <t>OUTRAS DESPESAS CUSTEADAS COM RECEITAS ADICIONAIS PARA FINANCIAMENTO DO ENSINO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</si>
  <si>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</si>
  <si>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20 – RECURSOS RECEBIDOS DO FUNDEB EM &lt;EXERCÍCIO ANTERIOR&gt; QUE NÃO FORAM UTILIZADOS</t>
  </si>
  <si>
    <t>CONTROLE DA UTILIZAÇÃO DE RECURSOS NO EXERCÍCIO SUBSEQÜENTE</t>
  </si>
  <si>
    <t xml:space="preserve">   19.3 - Máximo de 5% não Aplicado no Exercício (100 - (19.1 +19.2)) %</t>
  </si>
  <si>
    <t xml:space="preserve">   19.2 - Máximo de 40% em Despesa com MDE, que não Remuneração do Magistério (14 - (16.2 + 17.2)) / (11) x 100) %</t>
  </si>
  <si>
    <r>
      <t xml:space="preserve">   19.1 - Mínimo de 60% do FUNDEB na Remuneração do Magistério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(13 - (16.1 + 17.1)) / (11) x 100) %</t>
    </r>
  </si>
  <si>
    <t>19 - TOTAL DAS DESPESAS DO FUNDEB PARA FINS DE LIMITE (15 - 18)</t>
  </si>
  <si>
    <t>18- TOTAL DAS DEDUÇÕES CONSIDERADAS PARA FINS DE LIMITE DO FUNDEB (16 + 17)</t>
  </si>
  <si>
    <t xml:space="preserve">   17.2 - FUNDEB 40%</t>
  </si>
  <si>
    <t xml:space="preserve">   17.1 - FUNDEB 60%</t>
  </si>
  <si>
    <t xml:space="preserve">17- DESPESAS CUSTEADAS COM O SUPERÁVIT FINANCEIRO, DO EXERCÍCIO ANTERIOR, DO FUNDEB </t>
  </si>
  <si>
    <t xml:space="preserve">   16.2 - FUNDEB 40%</t>
  </si>
  <si>
    <t xml:space="preserve">   16.1 - FUNDEB 60%</t>
  </si>
  <si>
    <t>16- RESTOS A PAGAR INSCRITOS NO EXERCÍCIO SEM DISPONIBILIDADE FINANCEIRA DE RECURSOS DO FUNDEB</t>
  </si>
  <si>
    <t>15- TOTAL DAS DESPESAS DO FUNDEB (13 + 14)</t>
  </si>
  <si>
    <t xml:space="preserve">   14.2- Com Ensino Fundamental</t>
  </si>
  <si>
    <t xml:space="preserve">   14.1- Com Educação Infantil</t>
  </si>
  <si>
    <t>14- OUTRAS DESPESAS</t>
  </si>
  <si>
    <t xml:space="preserve">   13.2- Com Ensino Fundamental </t>
  </si>
  <si>
    <t xml:space="preserve">   13.1- Com Educação Infantil</t>
  </si>
  <si>
    <t>13- PAGAMENTO DOS PROFISSIONAIS DO MAGISTÉRIO</t>
  </si>
  <si>
    <t>[SE RESULTADO LÍQUIDO DA TRANSFERÊNCIA (12) &gt; 0] = ACRÉSCIMO RESULTANTE DAS TRANSFERÊNCIAS DO FUNDEB</t>
  </si>
  <si>
    <t>12- RESULTADO LÍQUIDO DAS TRANSFERÊNCIAS DO FUNDEB (11.1 – 10)</t>
  </si>
  <si>
    <t xml:space="preserve">    11.3- Receita de Aplicação Financeira dos Recursos do FUNDEB</t>
  </si>
  <si>
    <t xml:space="preserve">    11.2- Complementação da União ao FUNDEB</t>
  </si>
  <si>
    <t xml:space="preserve">    11.1- Transferências de Recursos do FUNDEB</t>
  </si>
  <si>
    <t>11- RECEITAS RECEBIDAS DO FUNDEB</t>
  </si>
  <si>
    <t xml:space="preserve">    10.6- Cota-Parte IPVA Destinada ao FUNDEB – (20% de 2.6)</t>
  </si>
  <si>
    <t xml:space="preserve">    10.5- Cota-Parte ITR ou ITR Arrecadado Destinados ao FUNDEB – (20% de ((1.5 – 1.5.5) + 2.5))</t>
  </si>
  <si>
    <t xml:space="preserve">    10.4- Cota-Parte IPI-Exportação Destinada ao FUNDEB – (20% de 2.4)</t>
  </si>
  <si>
    <t xml:space="preserve">    10.3- ICMS-Desoneração Destinada ao FUNDEB – (20% de 2.3)</t>
  </si>
  <si>
    <t xml:space="preserve">    10.2- Cota-Parte ICMS Destinada ao FUNDEB – (20% de 2.2)</t>
  </si>
  <si>
    <t xml:space="preserve">    10.1- Cota-Parte FPM Destinada ao FUNDEB – (20% de 2.1.1)</t>
  </si>
  <si>
    <t xml:space="preserve">10- RECEITAS DESTINADAS AO FUNDEB </t>
  </si>
  <si>
    <t>9- TOTAL DAS RECEITAS ADICIONAIS PARA FINANCIAMENTO DO ENSINO (4 + 5 + 6 + 7 + 8)</t>
  </si>
  <si>
    <t>8- OUTRAS RECEITAS PARA FINANCIAMENTO DO ENSINO</t>
  </si>
  <si>
    <t>7- RECEITA DE OPERAÇÕES DE CRÉDITO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</si>
  <si>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</si>
  <si>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 xml:space="preserve">    6.1- Transferências de Convênios</t>
  </si>
  <si>
    <t>6- RECEITA DE TRANSFERÊNCIAS DE CONVÊNIOS</t>
  </si>
  <si>
    <t xml:space="preserve">    5.4 - Transferências Diretas - PNATE</t>
  </si>
  <si>
    <t xml:space="preserve">    5.3- Transferências Diretas - PNAE</t>
  </si>
  <si>
    <t xml:space="preserve">    5.2- Transferências Diretas - PDDE</t>
  </si>
  <si>
    <t xml:space="preserve">    5.1- Transferências do Salário-Educação</t>
  </si>
  <si>
    <t>5- RECEITA DE TRANSFERÊNCIAS DO FNDE</t>
  </si>
  <si>
    <t>4- RECEITA DA APLICAÇÃO FINANCEIRA DE OUTROS RECURSOS DE IMPOSTOS VINCULADOS AO  ENSINO</t>
  </si>
  <si>
    <t>RECEITAS ADICIONAIS PARA FINANCIAMENTO DO ENSINO</t>
  </si>
  <si>
    <t xml:space="preserve">    2.7- Cota-Parte IOF-Ouro </t>
  </si>
  <si>
    <t xml:space="preserve">    2.6- Cota-Parte IPVA </t>
  </si>
  <si>
    <t xml:space="preserve">    2.5- Cota-Parte ITR </t>
  </si>
  <si>
    <t xml:space="preserve">    2.4- Cota-Parte IPI-Exportação </t>
  </si>
  <si>
    <t xml:space="preserve">    2.3- ICMS-Desoneração – L.C. nº87/1996 </t>
  </si>
  <si>
    <t xml:space="preserve">    2.2- Cota-Parte ICMS </t>
  </si>
  <si>
    <t xml:space="preserve">        2.1.2- Parcela referente à CF, art. 159, I, alínea d</t>
  </si>
  <si>
    <t xml:space="preserve">        2.1.1- Parcela referente à CF, art. 159, I, alínea b</t>
  </si>
  <si>
    <t xml:space="preserve">    2.1- Cota-Parte FPM </t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</si>
  <si>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</si>
  <si>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</si>
  <si>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t xml:space="preserve">        1.3.1- ISS</t>
  </si>
  <si>
    <t xml:space="preserve">    1.3- Receita Resultante do Imposto sobre Serviços de Qualquer Natureza – ISS</t>
  </si>
  <si>
    <t xml:space="preserve">        1.2.1- ITBI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</si>
  <si>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</si>
  <si>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1.1.1- IPTU</t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</si>
  <si>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</si>
  <si>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</si>
  <si>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</si>
  <si>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t>DOTAÇÃO INICIAL</t>
  </si>
  <si>
    <t xml:space="preserve">   Imposto Predial e Territorial Urbano - IPTU</t>
  </si>
  <si>
    <t xml:space="preserve">   Imposto sobre Transmissão de Bens Intervivos - ITBI</t>
  </si>
  <si>
    <t xml:space="preserve">   Imposto sobre Serviços de Qualquer Natureza - ISS</t>
  </si>
  <si>
    <t xml:space="preserve">   Imposto Territorial Rural - ITR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</si>
  <si>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</si>
  <si>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</si>
  <si>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</si>
  <si>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</si>
  <si>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>TOTAL DAS RECEITAS PARA APURAÇÃO DA APLICAÇÃO EM AÇÕES E SERVIÇOS PÚBLICOS DE SAÚDE (III) = I + II</t>
  </si>
  <si>
    <t xml:space="preserve">   Provenientes dos Estados</t>
  </si>
  <si>
    <t xml:space="preserve">   Provenientes de Outros Municípios</t>
  </si>
  <si>
    <t>TOTAL DAS DESPESAS COM SAÚDE (IV)</t>
  </si>
  <si>
    <t>(h/IVf)x100</t>
  </si>
  <si>
    <t>(i/IVg)x100</t>
  </si>
  <si>
    <t>TOTAL DAS DESPESAS COM NÃO COMPUTADAS  (V)</t>
  </si>
  <si>
    <t>TOTAL DAS DESPESAS COM AÇÕES E SERVIÇOS PÚBLICOS DE SAÚDE (VI) = (IV - V)</t>
  </si>
  <si>
    <t>Total (VIII)</t>
  </si>
  <si>
    <t xml:space="preserve">         IPTU</t>
  </si>
  <si>
    <t xml:space="preserve">         ISS</t>
  </si>
  <si>
    <t xml:space="preserve">         ITBI</t>
  </si>
  <si>
    <t xml:space="preserve">         Cota-Parte do FPM</t>
  </si>
  <si>
    <t xml:space="preserve">         Cota-Parte do ITR</t>
  </si>
  <si>
    <t xml:space="preserve">         Cota-Parte do IPVA</t>
  </si>
  <si>
    <t xml:space="preserve">         Cota-Parte do ICMS</t>
  </si>
  <si>
    <t>DÉFICIT (VII)</t>
  </si>
  <si>
    <t>TOTAL (VIII) = (V + VI + VII)</t>
  </si>
  <si>
    <t>DESPESAS (EXCETO INTRA-ORÇAMENTÁRIAS) (IX)</t>
  </si>
  <si>
    <t>DESPESAS (INTRA-ORÇAMENTÁRIAS) (X)</t>
  </si>
  <si>
    <t>SUBTOTAL DAS DESPESAS (XI) = (IX + X)</t>
  </si>
  <si>
    <t>AMORTIZAÇÃO DA DÍV. / REFINANCIAMENTO (XII)</t>
  </si>
  <si>
    <t>SUBTOTAL C/ REFINANCIAMENTO (XIII) = (XI + XII)</t>
  </si>
  <si>
    <t>SUPERÁVIT (XIV)</t>
  </si>
  <si>
    <t>TOTAL (XV) = (XIII + XIV)</t>
  </si>
  <si>
    <t>RECEITAS INTRA-ORÇAMENTÁRIAS</t>
  </si>
  <si>
    <t>DESPESAS INTRA-ORÇAMENTÁRIAS</t>
  </si>
  <si>
    <t>SALDO NÃO REALIZADO</t>
  </si>
  <si>
    <r>
      <t>RECEITAS DE OPERAÇÕES DE CRÉDITO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(I)</t>
    </r>
  </si>
  <si>
    <r>
      <t>1</t>
    </r>
    <r>
      <rPr>
        <sz val="10"/>
        <rFont val="Times New Roman"/>
        <family val="1"/>
      </rPr>
      <t xml:space="preserve">  Operações de Crédito descritas na CF, art. 167, inciso III</t>
    </r>
  </si>
  <si>
    <t xml:space="preserve">(g) = (e-f) </t>
  </si>
  <si>
    <t>(i) = (e-h)</t>
  </si>
  <si>
    <t>(g) = (e-f)</t>
  </si>
  <si>
    <t>INSCRITAS EM RESTOS A PAGAR NÃO PROCESSADOS                          (k)</t>
  </si>
  <si>
    <t>(e) = (a-d)</t>
  </si>
  <si>
    <t>(d/total d)</t>
  </si>
  <si>
    <t xml:space="preserve">  Despesas Pagas</t>
  </si>
  <si>
    <t>Pagamento</t>
  </si>
  <si>
    <t>PAGAMENTO</t>
  </si>
  <si>
    <t>DE RESTOS A PAGAR</t>
  </si>
  <si>
    <t>PAGAS</t>
  </si>
  <si>
    <t>DESPESAS                                                    (e)</t>
  </si>
  <si>
    <t xml:space="preserve">    Demais Haveres Financeiros</t>
  </si>
  <si>
    <t xml:space="preserve">RESULTADO NOMINAL </t>
  </si>
  <si>
    <t>DISCRIMINAÇÃO DA META FISCAL</t>
  </si>
  <si>
    <t>VALOR CORRENTE</t>
  </si>
  <si>
    <t>META DE RESULTADO NOMINAL FIXADA NO ANEXO DE METAS FISCAIS DA LDO P/ O EXERCÍCIO DE REFERÊNCIA</t>
  </si>
  <si>
    <t xml:space="preserve">    Investimentos</t>
  </si>
  <si>
    <t>Tabela 6 - Demonstrativo do Resultado Primário</t>
  </si>
  <si>
    <t>RREO - ANEXO 6 (LRF, art 53, inciso III)</t>
  </si>
  <si>
    <t>Em reais</t>
  </si>
  <si>
    <t>RECEITAS PRIMÁRIAS</t>
  </si>
  <si>
    <t>DESPESAS PRIMÁRIAS</t>
  </si>
  <si>
    <t xml:space="preserve">        Demais Inversões Financeiras</t>
  </si>
  <si>
    <t>DESPESA PRIMÁRIA TOTAL (XVIII) = (X + XV + XVI + XVII)</t>
  </si>
  <si>
    <t xml:space="preserve">RESULTADO PRIMÁRIO (XIX) = (VII - XVIII) </t>
  </si>
  <si>
    <t>META DE RESULTADO PRIMÁRIO FIXADA NO ANEXO DE METAS FISCAIS DA LDO P/ O EXERCÍCIO DE REFERÊNCIA</t>
  </si>
  <si>
    <r>
      <rPr>
        <vertAlign val="superscript"/>
        <sz val="10"/>
        <rFont val="Times New Roman"/>
        <family val="1"/>
      </rPr>
      <t>6</t>
    </r>
    <r>
      <rPr>
        <sz val="10"/>
        <rFont val="Times New Roman"/>
        <family val="1"/>
      </rPr>
      <t xml:space="preserve"> Nos cinco primeiros bimestres do exercício o acompanhamento poderá ser feito com base na despesa empenhada ou na despesa liquidada. No último bimestre do exercício, o valor deverá corresponder ao total da despesa empenhada. </t>
    </r>
  </si>
  <si>
    <r>
      <rPr>
        <vertAlign val="superscript"/>
        <sz val="10"/>
        <rFont val="Times New Roman"/>
        <family val="1"/>
      </rPr>
      <t>7</t>
    </r>
    <r>
      <rPr>
        <sz val="10"/>
        <rFont val="Times New Roman"/>
        <family val="1"/>
      </rPr>
      <t xml:space="preserve"> Essa coluna poderá ser apresentada somente no último bimestre</t>
    </r>
  </si>
  <si>
    <t xml:space="preserve">    Receita de Alienação de Bens Móveis</t>
  </si>
  <si>
    <t xml:space="preserve">    Receita de Alienação de Bens Imóveis</t>
  </si>
  <si>
    <t>(VIc -VIb)</t>
  </si>
  <si>
    <t>(VIc - VIa)</t>
  </si>
  <si>
    <t xml:space="preserve">    5.5- Outras Transferências do FNDE</t>
  </si>
  <si>
    <t xml:space="preserve">    5.6- Aplicação Financeira dos Recursos do FNDE</t>
  </si>
  <si>
    <t>Transferências para a Educação Básica</t>
  </si>
  <si>
    <t>Tabela 12.2 - Demonstrativo das Despesas com Saúde - Municípios</t>
  </si>
  <si>
    <t xml:space="preserve">        2.1.3- Parcela referente à CF, art. 159, I, alínea e</t>
  </si>
  <si>
    <t>Educação Básica</t>
  </si>
  <si>
    <t xml:space="preserve">Em </t>
  </si>
  <si>
    <t xml:space="preserve"> Em</t>
  </si>
  <si>
    <t xml:space="preserve"> &lt;Exercício&gt;</t>
  </si>
  <si>
    <t>Em 31 de dezembro de &lt;Exercício Anterior&gt;</t>
  </si>
  <si>
    <t>Em Exercícios Anteriores</t>
  </si>
  <si>
    <t xml:space="preserve">        Câmara Municipal </t>
  </si>
  <si>
    <t xml:space="preserve">        Tribunal de Contas do Município </t>
  </si>
  <si>
    <t>DO EXERCÍCIO</t>
  </si>
  <si>
    <t>DESPESAS INSCRITAS EM RESTOS A PAGAR NÃO PROCESSADOS</t>
  </si>
  <si>
    <t>Inscritos em &lt;Exercício de Referência - 1&gt;</t>
  </si>
  <si>
    <t>Inscritos em &lt;Exercício de Referência - 2&gt;</t>
  </si>
  <si>
    <t xml:space="preserve">Restos a Pagar Cancelados ou Prescritos em &lt;Exercício de Referência - 1&gt; </t>
  </si>
  <si>
    <t xml:space="preserve">Restos a Pagar Cancelados ou Prescritos em &lt;Exercício de Referência - 2&gt; </t>
  </si>
  <si>
    <t xml:space="preserve">Restos a Pagar Cancelados ou Prescritos em &lt;Exercício de Referência - 3&gt; </t>
  </si>
  <si>
    <t xml:space="preserve">Diferença de limite não cumprido em &lt;Exercício de Referência - 2&gt; </t>
  </si>
  <si>
    <t xml:space="preserve">Diferença de limite não cumprido em &lt;Exercício de Referência - 3&gt; </t>
  </si>
  <si>
    <t xml:space="preserve">Diferença de limite não cumprido em &lt;Exercício de Referência - 4&gt; </t>
  </si>
  <si>
    <r>
      <t>Inscritas em Restos a Pagar não Processados</t>
    </r>
    <r>
      <rPr>
        <b/>
        <vertAlign val="superscript"/>
        <sz val="8"/>
        <rFont val="Times New Roman"/>
        <family val="1"/>
      </rPr>
      <t>7</t>
    </r>
  </si>
  <si>
    <r>
      <t>RESTOS A PAGAR NÃO PROCESSADOS INSCRITOS INDEVIDAMENTE NO EXERCÍCIO SEM DISPONIBILIDADE FINANCEIRA</t>
    </r>
    <r>
      <rPr>
        <vertAlign val="superscript"/>
        <sz val="8"/>
        <rFont val="Times New Roman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</si>
  <si>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Times New Roman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</si>
  <si>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Times New Roman"/>
        <family val="1"/>
      </rPr>
      <t>3</t>
    </r>
  </si>
  <si>
    <r>
      <t>PERCENTUAL DE APLICAÇÃO EM AÇÕES E SERVIÇOS PÚBLICOS DE SAÚDE SOBRE A RECEITA  DE IMPOSTOS LÍQUIDA E TRANSFERÊNCIAS CONSTITUCIONAIS E LEGAIS (VII%) = (VI(h ou i) / IIIb x 100)</t>
    </r>
    <r>
      <rPr>
        <b/>
        <vertAlign val="superscript"/>
        <sz val="8"/>
        <rFont val="Times New Roman"/>
        <family val="1"/>
      </rPr>
      <t>6</t>
    </r>
    <r>
      <rPr>
        <b/>
        <sz val="8"/>
        <rFont val="Times New Roman"/>
        <family val="1"/>
      </rPr>
      <t xml:space="preserve"> - LIMITE CONSTITUCIONAL 15%</t>
    </r>
    <r>
      <rPr>
        <b/>
        <vertAlign val="superscript"/>
        <sz val="8"/>
        <rFont val="Times New Roman"/>
        <family val="1"/>
      </rPr>
      <t>4 e 5</t>
    </r>
  </si>
  <si>
    <r>
      <t>VALOR REFERENTE À DIFERENÇA ENTRE O VALOR EXECUTADO E O LIMITE MÍNIMO CONSTITUCIONAL [VI(h ou i) - (15 x IIIb)/100]</t>
    </r>
    <r>
      <rPr>
        <b/>
        <vertAlign val="superscript"/>
        <sz val="8"/>
        <rFont val="Times New Roman"/>
        <family val="1"/>
      </rPr>
      <t>6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</si>
  <si>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 xml:space="preserve"> O valor apresentado na intercessão com a coluna "i" ou com a coluna "h" deverá ser o mesmo apresentado no "total j".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</si>
  <si>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 O valor apresentado na intercessão com a coluna "i" ou com a coluna "h" deverá ser o mesmo apresentado no "total k".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</si>
  <si>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 Limite anual mínimo a ser cumprido no encerramento do exercício. Deverá ser informado o limite estabelecido na Lei Orgânica do Município quando o percentual nela estabelecido for superior ao fixado na LC nº 141/2012</t>
    </r>
  </si>
  <si>
    <r>
      <rPr>
        <vertAlign val="superscript"/>
        <sz val="8"/>
        <rFont val="Times New Roman"/>
        <family val="1"/>
      </rPr>
      <t>5</t>
    </r>
    <r>
      <rPr>
        <sz val="8"/>
        <rFont val="Times New Roman"/>
        <family val="1"/>
      </rPr>
      <t xml:space="preserve"> Durante o exercício esse valor servirá para o monitoramento previsto no art. 23 da LC 141/2012</t>
    </r>
  </si>
  <si>
    <r>
      <rPr>
        <vertAlign val="superscript"/>
        <sz val="8"/>
        <rFont val="Times New Roman"/>
        <family val="1"/>
      </rPr>
      <t>6</t>
    </r>
    <r>
      <rPr>
        <sz val="8"/>
        <rFont val="Times New Roman"/>
        <family val="1"/>
      </rPr>
      <t xml:space="preserve"> Nos cinco primeiros bimestres do exercício o acompanhamento será feito com base na despesa liquidada. No último bimestre do exercício, o valor deverá corresponder ao total da despesa empenhada.</t>
    </r>
  </si>
  <si>
    <r>
      <rPr>
        <vertAlign val="superscript"/>
        <sz val="8"/>
        <rFont val="Times New Roman"/>
        <family val="1"/>
      </rPr>
      <t>7</t>
    </r>
    <r>
      <rPr>
        <sz val="8"/>
        <rFont val="Times New Roman"/>
        <family val="1"/>
      </rPr>
      <t xml:space="preserve"> Essa coluna poderá ser apresentada somente no último bimestre</t>
    </r>
  </si>
  <si>
    <t>Notas: 1 Projeção atuarial elaborada em &lt;DATA DA AVALIAÇÃO&gt; e oficialmente enviada para o Ministério da Previdência Social – MPS.</t>
  </si>
  <si>
    <t>CANCELADO  (j)</t>
  </si>
  <si>
    <t>Promoção da Produção Agropecuária</t>
  </si>
  <si>
    <t>Defesa Agropecuária</t>
  </si>
  <si>
    <t>PODER/ÓRGÃO - INTRA</t>
  </si>
  <si>
    <t xml:space="preserve">    SALDOS DE EXERCÍCIOS ANTERIORES</t>
  </si>
  <si>
    <t xml:space="preserve">        Recursos Arrecadados em Exercícios Anteriores - RPPS</t>
  </si>
  <si>
    <t>RESERVA DO RPPS</t>
  </si>
  <si>
    <t xml:space="preserve">        Receita de Contribuições Patronais</t>
  </si>
  <si>
    <t xml:space="preserve">    RECEITAS CORRENTES (I)</t>
  </si>
  <si>
    <t>DEMONSTRATIVO DAS RECEITAS E DESPESAS PREVIDENCIÁRIAS DO REGIME PRÓPRIO DE PREVIDÊNCIA DOS SERVIDORES</t>
  </si>
  <si>
    <t>RECEITAS - PLANO FINANCEIRO</t>
  </si>
  <si>
    <t xml:space="preserve">        Benefícios - Civil</t>
  </si>
  <si>
    <t xml:space="preserve">        Benefícios - Militar</t>
  </si>
  <si>
    <t>DESPESAS - PLANO FINANCEIRO</t>
  </si>
  <si>
    <t xml:space="preserve">        VALOR</t>
  </si>
  <si>
    <t>RECEITAS - PLANO PREVIDENCIÁRIO</t>
  </si>
  <si>
    <t>DESPESAS - PLANO PREVIDENCIÁRIO</t>
  </si>
  <si>
    <t>RECURSOS ARRECADADOS EM EXERCÍCIOS ANTERIORES - PLANO PREVIDENCIÁRIO</t>
  </si>
  <si>
    <t>RESERVA ORÇAMENTÁRIA DO RPPS - PLANO PREVIDENCIÁRIO</t>
  </si>
  <si>
    <t xml:space="preserve">  Plano de Amortização - Contribuição Patronal Suplementar </t>
  </si>
  <si>
    <t xml:space="preserve">  Plano de Amortização - Aporte Periódico de Valores Predefinidos </t>
  </si>
  <si>
    <t xml:space="preserve">  Outros Aportes para o RPPS </t>
  </si>
  <si>
    <t xml:space="preserve">  Recursos para Cobertura de Déficit Financeiro </t>
  </si>
  <si>
    <t>APORTES DE RECURSOS PARA O RPPS - PLANO PREVIDENCIÁRIO</t>
  </si>
  <si>
    <t>BENS E DIREITOS DO RPPS - PLANO PREVIDENCIÁRIO</t>
  </si>
  <si>
    <t xml:space="preserve">  Recursos para Cobertura de Insuficiências Financeiras </t>
  </si>
  <si>
    <t xml:space="preserve">  Recursos para Formação de Reserva </t>
  </si>
  <si>
    <t>Caixa e Equivalente de Caixa</t>
  </si>
  <si>
    <t>Investimentos e Aplicações</t>
  </si>
  <si>
    <t>Outros Bens e Direitos</t>
  </si>
  <si>
    <t>APORTES DE RECURSOS PARA O RPPS - PLANO FINANCEIRO</t>
  </si>
  <si>
    <t xml:space="preserve">    Disponibilidade de Caixa</t>
  </si>
  <si>
    <t xml:space="preserve">    Ativos Constituídos pela SPE</t>
  </si>
  <si>
    <t>TOTAL DE PASSIVOS</t>
  </si>
  <si>
    <t xml:space="preserve">    Obrigações decorrentes de Ativos Constituídos pela SPE</t>
  </si>
  <si>
    <t xml:space="preserve">    Outros Passivos</t>
  </si>
  <si>
    <t>ATOS POTENCIAIS PASSIVOS</t>
  </si>
  <si>
    <t xml:space="preserve">    Obrigações Contratuais</t>
  </si>
  <si>
    <t>PPP A CONTRATAR (II)</t>
  </si>
  <si>
    <t>RECEITA CORRENTE LÍQUIDA (RCL) (III)</t>
  </si>
  <si>
    <t>TOTAL DAS DESPESAS CONSIDERADAS PARA O LIMITE (IV = I + II)</t>
  </si>
  <si>
    <t>TOTAL DAS DESPESAS / RCL (%) (V) = (IV)/(III)</t>
  </si>
  <si>
    <t xml:space="preserve">        Defensoria Pública</t>
  </si>
  <si>
    <t>Tabela 4 - Demonstrativo das Receitas e Despesas Previdenciárias do Regime Próprio de Previdência dos Servidores</t>
  </si>
  <si>
    <t>Do Ente Federado, exceto estatais não dependentes (I)</t>
  </si>
  <si>
    <t xml:space="preserve">       IMPOSTOS, TAXAS E CONTRIBUIÇÕES DE MELHORIA</t>
  </si>
  <si>
    <t xml:space="preserve">        CONTRIBUIÇÕES</t>
  </si>
  <si>
    <t xml:space="preserve">            Contribuições Econômicas</t>
  </si>
  <si>
    <t xml:space="preserve">            Exploração do Patrimônio Imobiliário do Estado</t>
  </si>
  <si>
    <t xml:space="preserve">            Valores Mobiliários</t>
  </si>
  <si>
    <t xml:space="preserve">            Exploração de Recursos Naturais</t>
  </si>
  <si>
    <t xml:space="preserve">            Exploração do Patrimônio Intangível</t>
  </si>
  <si>
    <t xml:space="preserve">           Cessão de Direitos</t>
  </si>
  <si>
    <t xml:space="preserve">           Demais Receitas Patrimoniais</t>
  </si>
  <si>
    <t xml:space="preserve">            Serviços Administrativos e Comerciais Gerais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</si>
  <si>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</si>
  <si>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</si>
  <si>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</si>
  <si>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    Transferências da União e de suas Entidades</t>
  </si>
  <si>
    <t xml:space="preserve">            Transferências dos Municípios e de suas Entidades</t>
  </si>
  <si>
    <t xml:space="preserve">            Transferências de Pessoas Físicas</t>
  </si>
  <si>
    <t xml:space="preserve">            Multas Administrativas, Contratuais e Judiciais</t>
  </si>
  <si>
    <t xml:space="preserve">            Indenizações, Restituições e Ressarcimentos</t>
  </si>
  <si>
    <t xml:space="preserve">            Operações de Crédito - Mercado Interno</t>
  </si>
  <si>
    <t xml:space="preserve">            Operações de Crédito - Mercado Externo</t>
  </si>
  <si>
    <t xml:space="preserve">            Alienação de Bens Intangíveis</t>
  </si>
  <si>
    <t xml:space="preserve">           Transferências da União e de suas Entidades</t>
  </si>
  <si>
    <t xml:space="preserve">            Remuneração das Disponibilidades do Tesouro</t>
  </si>
  <si>
    <t xml:space="preserve">            Resgate de Títulos do Tesouro</t>
  </si>
  <si>
    <t xml:space="preserve">           Demais Receitas de Capital       </t>
  </si>
  <si>
    <t xml:space="preserve">            Contribuições para Entidades Privadas de Serviço Social
           └ e de Formação Profissional</t>
  </si>
  <si>
    <t xml:space="preserve">            Contribuição para o Custeio do Serviço de Iluminação
           └ Pública</t>
  </si>
  <si>
    <t xml:space="preserve">           Delegação de Serviços Públicos Mediante Concessão,
           └ Permissão, Autorização ou Licença</t>
  </si>
  <si>
    <t xml:space="preserve">            Serviços e Atividades Referentes à Navegação e ao
           └ Transporte</t>
  </si>
  <si>
    <t xml:space="preserve">            Transferências dos Estados e do Distrito Federal e de
           └ suas Entidades</t>
  </si>
  <si>
    <t xml:space="preserve">             Transferências Provenientes de Depósitos Não 
           └ Identificados</t>
  </si>
  <si>
    <t xml:space="preserve">            Transferências Provenientes de Depósitos Não 
           └ Identificados</t>
  </si>
  <si>
    <t xml:space="preserve">        IMPOSTOS, TAXAS E CONTRIBUIÇÕES DE MELHORIA</t>
  </si>
  <si>
    <t xml:space="preserve">            Cessão de Direitos</t>
  </si>
  <si>
    <t xml:space="preserve">            Demais Receitas Patrimoniais</t>
  </si>
  <si>
    <t xml:space="preserve">            Resgate de Títulos do Tesouro       </t>
  </si>
  <si>
    <t xml:space="preserve">           Demais Receitas de Capital</t>
  </si>
  <si>
    <t xml:space="preserve">            Contribuição para o Custeio do Serviço de Iluminação 
           └ Pública</t>
  </si>
  <si>
    <t xml:space="preserve">            Delegação de Serviços Públicos Mediante Concessão, 
           └ Permissão, Autorização ou Licença</t>
  </si>
  <si>
    <t xml:space="preserve">            Serviços e Atividades Referentes à Navegação e ao 
           └ Transporte</t>
  </si>
  <si>
    <t xml:space="preserve">            Transferências da União e de 
           └ suas Entidades</t>
  </si>
  <si>
    <t xml:space="preserve">            Transferências dos Estados e do Distrito Federal e de 
           └ suas Entidades</t>
  </si>
  <si>
    <t xml:space="preserve">            Bens, Direitos e Valores Incorporados ao Patrimônio 
           └ Público</t>
  </si>
  <si>
    <t xml:space="preserve">           Transferências dos Estados e do Distrito Federal e de suas 
           └ Entidades</t>
  </si>
  <si>
    <t xml:space="preserve">            Transferências Provenientes de Depósitos Não
           └ Identificados</t>
  </si>
  <si>
    <t xml:space="preserve">        Rendimentos de Aplicação Financeira </t>
  </si>
  <si>
    <t xml:space="preserve">        Outras Receitas Patrimoniais </t>
  </si>
  <si>
    <t xml:space="preserve">   Impostos, Taxas e Contribuições de Melhoria </t>
  </si>
  <si>
    <t xml:space="preserve">         Outros Impostos, Taxas e Contribuições de Melhoria </t>
  </si>
  <si>
    <t xml:space="preserve">    Impostos, Taxas e Contribuições de Melhoria </t>
  </si>
  <si>
    <t xml:space="preserve">    Contribuições </t>
  </si>
  <si>
    <t xml:space="preserve">    Receita Patrimonial </t>
  </si>
  <si>
    <t xml:space="preserve">    Transferências Correntes </t>
  </si>
  <si>
    <t xml:space="preserve">    Demais Receitas Correntes </t>
  </si>
  <si>
    <t xml:space="preserve">    Operações de Crédito (VI) </t>
  </si>
  <si>
    <t xml:space="preserve">    Amortização de Empréstimos (VII) </t>
  </si>
  <si>
    <t xml:space="preserve">    Alienação de Bens </t>
  </si>
  <si>
    <t xml:space="preserve">    Transferências de Capital </t>
  </si>
  <si>
    <t xml:space="preserve">    Outras Receitas de Capital </t>
  </si>
  <si>
    <t xml:space="preserve">RECEITAS CORRENTES (I) </t>
  </si>
  <si>
    <t xml:space="preserve">          ISS </t>
  </si>
  <si>
    <t xml:space="preserve">          ITBI </t>
  </si>
  <si>
    <t xml:space="preserve">          IRRF </t>
  </si>
  <si>
    <t xml:space="preserve">  IPTU </t>
  </si>
  <si>
    <t xml:space="preserve">        Aplicações Financeiras (II) </t>
  </si>
  <si>
    <t xml:space="preserve">        Cota-Parte do FPM </t>
  </si>
  <si>
    <t xml:space="preserve">        Cota-Parte do ICMS</t>
  </si>
  <si>
    <t xml:space="preserve">        Cota-Parte do IPVA </t>
  </si>
  <si>
    <t xml:space="preserve">        Cota-Parte do ITR </t>
  </si>
  <si>
    <t xml:space="preserve">        Transferências da LC 87/1996 </t>
  </si>
  <si>
    <t xml:space="preserve">        Transferências da LC nº 61/1989 </t>
  </si>
  <si>
    <t xml:space="preserve">        Transferências do FUNDEB </t>
  </si>
  <si>
    <t xml:space="preserve">        Outras Transferências Correntes </t>
  </si>
  <si>
    <t xml:space="preserve">        Outras Receitas Financeiras (III) </t>
  </si>
  <si>
    <t xml:space="preserve">        Receitas Correntes Restantes </t>
  </si>
  <si>
    <t xml:space="preserve">RECEITAS PRIMÁRIAS CORRENTES (IV) = (I - II - III) </t>
  </si>
  <si>
    <t xml:space="preserve">RECEITAS DE CAPITAL (V) </t>
  </si>
  <si>
    <t xml:space="preserve">        Convênios </t>
  </si>
  <si>
    <t xml:space="preserve">        Outras Transferências de Capital </t>
  </si>
  <si>
    <t xml:space="preserve">        Outras Alienações de Bens </t>
  </si>
  <si>
    <t xml:space="preserve">        Receitas de Alienação de Investimentos Permanentes (IX) </t>
  </si>
  <si>
    <t xml:space="preserve">        Receitas de Alienação de Investimentos Temporários (VIII) </t>
  </si>
  <si>
    <t xml:space="preserve">        Outras Receitas de Capital Não Primárias (X) </t>
  </si>
  <si>
    <t xml:space="preserve">        Outras Receitas de Capital Primárias </t>
  </si>
  <si>
    <t xml:space="preserve">RECEITAS PRIMÁRIAS DE CAPITAL (XI) = (V - VI - VII - VIII - IX - X) </t>
  </si>
  <si>
    <t xml:space="preserve">RECEITA PRIMÁRIA TOTAL (XII) = (IV + XI) </t>
  </si>
  <si>
    <t xml:space="preserve">RESULTADO PRIMÁRIO - Acima da Linha (XXIV) = (XIIa - (XXIIIa  +     XXIIIb +  XXIIIc)) </t>
  </si>
  <si>
    <t>Até o Bimestre/  &lt;Exercício&gt;</t>
  </si>
  <si>
    <t>JUROS NOMINAIS</t>
  </si>
  <si>
    <t>VALOR INCORRIDO</t>
  </si>
  <si>
    <t>JUROS E ENCARGOS ATIVOS (XXV)</t>
  </si>
  <si>
    <t>JUROS E ENCARGOS PASSIVOS (XXVI)</t>
  </si>
  <si>
    <t>RESULTADO NOMINAL - Acima da Linha (XXVII) =  XXIV + (XXV - XXVI)</t>
  </si>
  <si>
    <t>META FISCAL PARA O RESULTADO NOMINAL</t>
  </si>
  <si>
    <t>Meta fixada no Anexo de Metas Fiscais da LDO para o exercício de referência</t>
  </si>
  <si>
    <t>ABAIXO DA LINHA</t>
  </si>
  <si>
    <t>CÁLCULO DO RESULTADO NOMINAL</t>
  </si>
  <si>
    <t>DÍVIDA CONSOLIDADA (XXVIII)</t>
  </si>
  <si>
    <t>DEDUÇÕES (XXIX)</t>
  </si>
  <si>
    <t xml:space="preserve">           Disponibilidade de Caixa Bruta</t>
  </si>
  <si>
    <t xml:space="preserve">           (-) Restos a Pagar Processados (XXX)  </t>
  </si>
  <si>
    <t>DÍVIDA CONSOLIDADA LÍQUIDA (XXXI) = (XXVIII - XXIX)</t>
  </si>
  <si>
    <t>RESULTADO NOMINAL - Abaixo da Linha (XXXII) = (XXXIa - XXXIb)</t>
  </si>
  <si>
    <t>AJUSTE METODOLÓGICO</t>
  </si>
  <si>
    <t>VARIAÇÃO SALDO RPP = (XXXIII) = (XXXa - XXXb)</t>
  </si>
  <si>
    <t>RECEITA DE ALIENAÇÃO DE INVESTIMENTOS PERMANENTES (IX)</t>
  </si>
  <si>
    <t>PASSIVOS RECONHECIDOS NA DC (XXXIV)</t>
  </si>
  <si>
    <t>RESULTADO PRIMÁRIO - Abaixo da Linha (XXXVII) =  XXXVI - (XXV - XXVI)</t>
  </si>
  <si>
    <t>INFORMAÇÕES ADICIONAIS</t>
  </si>
  <si>
    <t>RESERVA ORÇAMENTÁRIA DO RPPS</t>
  </si>
  <si>
    <t>RESULTADO PRIMÁRIO CONFORME MODELO DA 7ª EDIÇÃO DO MDF</t>
  </si>
  <si>
    <t>RECEITA PRIMÁRIA TOTAL  (VII) = (I + VI)</t>
  </si>
  <si>
    <t>DISCRIMINAÇÃO DA META FISCAL DE RESULTADO PRIMÁRIO</t>
  </si>
  <si>
    <t>RESULTADO NOMINAL CONFORME MODELO DA 7ª EDIÇÃO DO MDF</t>
  </si>
  <si>
    <t>DISCRIMINAÇÃO DA META FISCAL DE RESULTADO NOMINAL</t>
  </si>
  <si>
    <t>Em 31/Dez Exercício Anterior</t>
  </si>
  <si>
    <t>DOTAÇÃO 
ATUALIZADA</t>
  </si>
  <si>
    <t>DESPESAS 
EMPENHADAS</t>
  </si>
  <si>
    <t>RESTOS A PAGAR 
NÃO PROCESSADOS</t>
  </si>
  <si>
    <t>LIQUIDADOS</t>
  </si>
  <si>
    <t xml:space="preserve">PAGOS                     (c) </t>
  </si>
  <si>
    <t>DESPESAS 
PAGAS                     (a)</t>
  </si>
  <si>
    <t>RESTOS A PAGAR 
PROCESSADOS PAGOS                     (b)</t>
  </si>
  <si>
    <t>DESPESA PRIMÁRIA TOTAL (XXIII) = (XV + XXI + XXII)</t>
  </si>
  <si>
    <t>DESPESAS CORRENTES (XIII)</t>
  </si>
  <si>
    <t xml:space="preserve">    Juros e Encargos da Dívida (XIV)</t>
  </si>
  <si>
    <t>DESPESAS PRIMÁRIAS CORRENTES (XV) = (XIII - XIV)</t>
  </si>
  <si>
    <t>DESPESAS DE CAPITAL (XVI)</t>
  </si>
  <si>
    <t xml:space="preserve">        Concessão de Empréstimos e Financiamentos (XVII)</t>
  </si>
  <si>
    <t xml:space="preserve">        Aquisição de Título de Capital já Integralizado (XVIII)</t>
  </si>
  <si>
    <t xml:space="preserve">        Aquisição de Título de Crédito (XIX)</t>
  </si>
  <si>
    <t xml:space="preserve">    Amortização da Dívida (XX)</t>
  </si>
  <si>
    <t>DESPESAS PRIMÁRIAS DE CAPITAL (XXI) = (XVI - XVII - XVIII - XIX - XX)</t>
  </si>
  <si>
    <t>RESERVA DE CONTINGÊNCIA (XXII)</t>
  </si>
  <si>
    <t xml:space="preserve">    Riscos não Provisionados </t>
  </si>
  <si>
    <t xml:space="preserve">    Garantias Concedidas </t>
  </si>
  <si>
    <t xml:space="preserve">    Outros Passivos Contingentes </t>
  </si>
  <si>
    <t xml:space="preserve">          Outros Impostos, Taxas e Contribuições de Melhoria </t>
  </si>
  <si>
    <t xml:space="preserve">DESPESAS PAGAS </t>
  </si>
  <si>
    <t>INSCRITAS EM RESTOS A PAGAR NÃO PROCESSADOS (f)</t>
  </si>
  <si>
    <r>
      <t>INSCRITAS EM RESTOS A PAGAR NÃO PROCESSADOS</t>
    </r>
    <r>
      <rPr>
        <b/>
        <sz val="10"/>
        <rFont val="Times New Roman"/>
        <family val="1"/>
      </rPr>
      <t xml:space="preserve"> (f)</t>
    </r>
  </si>
  <si>
    <t>% Aplicado</t>
  </si>
  <si>
    <t>PLANO PREVIDÊNCIARIO</t>
  </si>
  <si>
    <t>PLANO FINANCEIRO</t>
  </si>
  <si>
    <t xml:space="preserve">        1.1.2- Multas, Juros de Mora, Dívida Ativa e Outros Encargos do IPTU</t>
  </si>
  <si>
    <t xml:space="preserve">        1.2.2- Multas, Juros de Mora, Dívida Ativa e Outros Encargos do ITBI</t>
  </si>
  <si>
    <t xml:space="preserve">        1.3.2- Multas, Juros de Mora, Dívida Ativa e Outros Encargos do ISS</t>
  </si>
  <si>
    <t xml:space="preserve">    1.4- Receita Resultante do Imposto de Renda Retido na Fonte – IRRF</t>
  </si>
  <si>
    <t xml:space="preserve">        1.5.2- Multas, Juros de Mora, Dívida Ativa e Outros Encargos do ITR</t>
  </si>
  <si>
    <t>22- EDUCAÇÃO INFANTIL</t>
  </si>
  <si>
    <t xml:space="preserve">    22.1 - Creche</t>
  </si>
  <si>
    <t xml:space="preserve">        22.1.1- Despesas Custeadas com Recursos do FUNDEB</t>
  </si>
  <si>
    <t xml:space="preserve">        22.1.2- Despesas Custeadas com Outros Recursos de Impostos</t>
  </si>
  <si>
    <t xml:space="preserve">    22.2 - Pré-escola</t>
  </si>
  <si>
    <t xml:space="preserve">        22.2.1- Despesas Custeadas com Recursos do FUNDEB</t>
  </si>
  <si>
    <t xml:space="preserve">        22.2.2- Despesas Custeadas com Outros Recursos de Impostos</t>
  </si>
  <si>
    <t>23- ENSINO FUNDAMENTAL</t>
  </si>
  <si>
    <t xml:space="preserve">    23.1- Despesas Custeadas com Recursos do FUNDEB</t>
  </si>
  <si>
    <t xml:space="preserve">    23.2- Despesas Custeadas com Outros Recursos de Impostos</t>
  </si>
  <si>
    <t>24- ENSINO MÉDIO</t>
  </si>
  <si>
    <t>25- ENSINO SUPERIOR</t>
  </si>
  <si>
    <t>26- ENSINO PROFISSIONAL NÃO INTEGRADO AO ENSINO REGULAR</t>
  </si>
  <si>
    <t>27- OUTRAS</t>
  </si>
  <si>
    <t>28- TOTAL DAS DESPESAS COM AÇÕES TÍPICAS DE MDE (22 + 23 + 24 + 25 + 26 + 27)</t>
  </si>
  <si>
    <t>29- RESULTADO LÍQUIDO DAS TRANSFERÊNCIAS DO FUNDEB = (12)</t>
  </si>
  <si>
    <t>30- DESPESAS CUSTEADAS COM A COMPLEMENTAÇÃO DO FUNDEB NO EXERCÍCIO</t>
  </si>
  <si>
    <t>SALÁRIO</t>
  </si>
  <si>
    <t>EDUCAÇÃO</t>
  </si>
  <si>
    <t>(-) Incentivos Fiscais a Contribuinte por Instituições Financeiras</t>
  </si>
  <si>
    <t>(h) = (d-e)</t>
  </si>
  <si>
    <t xml:space="preserve">SALDO </t>
  </si>
  <si>
    <t>(j) = (Ib – (IIf+ IIg))</t>
  </si>
  <si>
    <t>(k) = (IIIi + IIIj)</t>
  </si>
  <si>
    <t>Regime Próprio de Previdência dos Servidores - PLANO PREVIDENCIÁRIO</t>
  </si>
  <si>
    <t xml:space="preserve">    Receitas Previdenciárias Realizadas</t>
  </si>
  <si>
    <t xml:space="preserve">    Despesas Previdenciárias Liquidadas</t>
  </si>
  <si>
    <t xml:space="preserve">    Resultado Previdenciário</t>
  </si>
  <si>
    <t>Regime Próprio de Previdência dos Servidores - PLANO FINANCEIRO</t>
  </si>
  <si>
    <t>DEMONSTRATIVO DOS RESULTADOS PRIMÁRIO E NOMINAL   - ESTADOS, DISTRITO FEDERAL E MUNICÍPIOS</t>
  </si>
  <si>
    <t xml:space="preserve">            Receita de Aporte Periódico de Valores Predefinidos (II)</t>
  </si>
  <si>
    <t xml:space="preserve">    RECEITAS DE CAPITAL (III)</t>
  </si>
  <si>
    <t>TOTAL DAS RECEITAS PREVIDENCIÁRIAS RPPS - (IV) = (I + III - II)</t>
  </si>
  <si>
    <t xml:space="preserve">    ADMINISTRAÇÃO (V)</t>
  </si>
  <si>
    <t xml:space="preserve">    PREVIDÊNCIA (VI)</t>
  </si>
  <si>
    <t>TOTAL DAS DESPESAS PREVIDENCIÁRIAS RPPS (VII) = (V + VI)</t>
  </si>
  <si>
    <t>RESULTADO PREVIDENCIÁRIO (VIII) = (IV - VII)</t>
  </si>
  <si>
    <t xml:space="preserve">    RECEITAS CORRENTES (IX)</t>
  </si>
  <si>
    <t xml:space="preserve">    RECEITAS DE CAPITAL (X)</t>
  </si>
  <si>
    <t>TOTAL DAS RECEITAS PREVIDENCIÁRIAS RPPS - (XI) = (IX + X)</t>
  </si>
  <si>
    <t xml:space="preserve">    ADMINISTRAÇÃO (XII)</t>
  </si>
  <si>
    <t xml:space="preserve">    PREVIDÊNCIA (XIII)</t>
  </si>
  <si>
    <t>TOTAL DAS DESPESAS PREVIDENCIÁRIAS RPPS (XIV) = (XII + XIII)</t>
  </si>
  <si>
    <t>RESULTADO PREVIDENCIÁRIO (XV) = (XI – XIV)</t>
  </si>
  <si>
    <t>SALDO DE EXERCÍCIO ANTERIORES</t>
  </si>
  <si>
    <t xml:space="preserve">        Superávit Financeiro Utilizado para Créditos Adicionais</t>
  </si>
  <si>
    <t>VARIAÇÃO CAMBIAL (XXXV)</t>
  </si>
  <si>
    <t>PAGAMENTO DE PRECATÓRIOS INTEGRANTES DA DC (XXXVI)</t>
  </si>
  <si>
    <t>OUTROS AJUSTES (XXXVII)</t>
  </si>
  <si>
    <t>RESULTADO NOMINAL AJUSTADO - Abaixo da Linha (XXXVIII) = (XXXII - XXXIII - IX + XXXIV + XXXV - XXXVI + XXXVII)</t>
  </si>
  <si>
    <t xml:space="preserve">    RECURSOS ARRECADADOS EM EXERCÍCIOS ANTERIORES - RPPS</t>
  </si>
  <si>
    <t xml:space="preserve">    SUPERÁVIT FINANCEIRO UTILIZADO PARA ABERTURA E
   └ REABERTURA DE CRÉDITOS ADICIONAIS</t>
  </si>
  <si>
    <t>31- DESPESAS CUSTEADAS COM O SUPERÁVIT FINANCEIRO, DO EXERCÍCIO ANTERIOR, DO FUNDEB</t>
  </si>
  <si>
    <t>32- DESPESAS CUSTEADAS COM O SUPERÁVIT FINANCEIRO, DO EXERCÍCIO ANTERIOR, DE OUTROS RECURSOS DE IMPOSTOS</t>
  </si>
  <si>
    <t>33- RESTOS A PAGAR INSCRITOS NO EXERCÍCIO SEM DISPONIBILIDADE FINANCEIRA DE RECURSOS DE IMPOSTOS VINCULADOS AO ENSINO</t>
  </si>
  <si>
    <t>34- CANCELAMENTO, NO EXERCÍCIO, DE RESTOS A PAGAR INSCRITOS COM DISPONIBILIDADE FINANCEIRA DE RECURSOS DE IMPOSTOS VINCULADOS AO ENSINO = (45 j)</t>
  </si>
  <si>
    <t>35- TOTAL DAS DEDUÇÕES CONSIDERADAS PARA FINS DE LIMITE CONSTITUCIONAL (29+30+31+32+33+34)</t>
  </si>
  <si>
    <r>
      <t xml:space="preserve">38-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</si>
  <si>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39-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</si>
  <si>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r>
      <t xml:space="preserve">40-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</si>
  <si>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</si>
  <si>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t>44- RESTOS A PAGAR DE DESPESAS COM MDE</t>
  </si>
  <si>
    <t xml:space="preserve">   44.1 - Executadas com Recursos de Impostos Vinculados ao Ensino</t>
  </si>
  <si>
    <t xml:space="preserve">   44.2 - Executadas com Recursos do FUNDEB</t>
  </si>
  <si>
    <t>45- SALDO FINANCEIRO EM 31 DE DEZEMBRO DE &lt;EXERCÍCIO ANTERIOR&gt;</t>
  </si>
  <si>
    <t>46- (+) INGRESSO DE RECURSOS ATÉ O BIMESTRE</t>
  </si>
  <si>
    <t>47- (-) PAGAMENTOS EFETUADOS ATÉ O BIMESTRE</t>
  </si>
  <si>
    <t xml:space="preserve">     47.1 Orçamento do Exercício</t>
  </si>
  <si>
    <t xml:space="preserve">     47.2 Restos a Pagar</t>
  </si>
  <si>
    <t>48- (+) RECEITA DE APLICAÇÃO FINANCEIRA DOS RECURSOS ATÉ O BIMESTRE</t>
  </si>
  <si>
    <t>49- (=) DISPONIBILIDADE FINANCEIRA ATÉ O BIMESTRE</t>
  </si>
  <si>
    <t>50-  (+) Ajustes</t>
  </si>
  <si>
    <t xml:space="preserve">     50.1 (+) Retenções</t>
  </si>
  <si>
    <t xml:space="preserve">     50.2 (-) Valores a recuperar</t>
  </si>
  <si>
    <t xml:space="preserve">     50.3 (+) Outros valores extraorçamentários</t>
  </si>
  <si>
    <t xml:space="preserve">     50.4 (+) Conciliação Bancária</t>
  </si>
  <si>
    <t>51- (=) SALDO FINANCEIRO CONCILIADO</t>
  </si>
  <si>
    <t>36- TOTAL DAS DESPESAS PARA FINS DE LIMITE ((22 + 23) – (35))</t>
  </si>
  <si>
    <t xml:space="preserve">37- PERCENTUAL DE APLICAÇÃO EM MDE SOBRE A RECEITA LÍQUIDA DE IMPOSTOS ((36) / (3) x 100) % - LIMITE CONSTITUCIONAL 25% </t>
  </si>
  <si>
    <t>42- TOTAL DAS OUTRAS DESPESAS CUSTEADAS COM RECEITAS ADICIONAIS PARA FINANCIAMENTO DO ENSINO (38+39 + 40 + 41)</t>
  </si>
  <si>
    <t>43- TOTAL GERAL DAS DESPESAS COM MDE (28 + 42)</t>
  </si>
  <si>
    <t xml:space="preserve">      RECEITA DE APLICAÇÃO FINANCEIRA DOS RECURSOS DO FUNDEB ATÉ O BIMESTRE</t>
  </si>
  <si>
    <t xml:space="preserve">    Receita de Alienação de Bens Intangiveis </t>
  </si>
  <si>
    <t xml:space="preserve">    Receita de Rendimento de Aplicações Financeiras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</si>
  <si>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</si>
  <si>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</si>
  <si>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</si>
  <si>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</si>
  <si>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6º Bimestre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</si>
  <si>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</si>
  <si>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</si>
  <si>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</si>
  <si>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</si>
  <si>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</si>
  <si>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</si>
  <si>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24/01/2020, às 14:06:13. Assinado Digitalmente no dia 24/01/2020, às 14:06:13.</t>
  </si>
  <si>
    <t>FONTE: Sistema CECAM, Unidade Responsável: CONTABILIDADE. Emissão: 24/01/2020, às 14:06:45. Assinado Digitalmente no dia 24/01/2020, às 14:06:45.</t>
  </si>
  <si>
    <t>FONTE: Sistema CECAM, Unidade Responsável: CONTABILIDADE. Emissão: 24/01/2020, às 14:07:40. Assinado Digitalmente no dia 24/01/2020, às 14:07:40.</t>
  </si>
  <si>
    <t>FONTE: Sistema CECAM, Unidade Responsável: CONTABILIDADE. Emissão: 24/01/2020, às 14:07:49. Assinado Digitalmente no dia 24/01/2020, às 14:07:49.</t>
  </si>
  <si>
    <t>FONTE: Sistema CECAM, Unidade Responsável: CONTABILIDADE. Emissão: 24/01/2020, às 14:09:48. Assinado Digitalmente no dia 24/01/2020, às 14:09:48.</t>
  </si>
  <si>
    <t>FONTE: Sistema CECAM, Unidade Responsável: CONTABILIDADE. Emissão: 24/01/2020, às 14:09:55. Assinado Digitalmente no dia 24/01/2020, às 14:09:55.</t>
  </si>
  <si>
    <t>FONTE: Sistema CECAM, Unidade Responsável: CONTABILIDADE. Emissão: 24/01/2020, às 14:10:07. Assinado Digitalmente no dia 24/01/2020, às 14:10:07.</t>
  </si>
  <si>
    <t>FONTE: Sistema CECAM, Unidade Responsável: CONTABILIDADE. Emissão: 24/01/2020, às 14:10:24. Assinado Digitalmente no dia 24/01/2020, às 14:10:24.</t>
  </si>
  <si>
    <t>FONTE: Sistema CECAM, Unidade Responsável: CONTABILIDADE. Emissão: 24/01/2020, às 14:10:28. Assinado Digitalmente no dia 24/01/2020, às 14:10:28.</t>
  </si>
  <si>
    <t>FONTE: Sistema CECAM, Unidade Responsável: CONTABILIDADE. Emissão: 24/01/2020, às 14:10:29. Assinado Digitalmente no dia 24/01/2020, às 14:10:29.</t>
  </si>
  <si>
    <t>CRC - SP 321123/O-4</t>
  </si>
  <si>
    <t>CRC-SP 289944/O-3</t>
  </si>
  <si>
    <t>RITA DE CÁSSIA TRASFERETTI</t>
  </si>
  <si>
    <t>SECRETÁRIA MUNICIPAL DE EDUCAÇÃO</t>
  </si>
  <si>
    <t>CRC - SP3211/23/O-4</t>
  </si>
  <si>
    <t>GRAZIELA DRIGO BOSSOLAN GARCIA</t>
  </si>
  <si>
    <t>SECRETÁRIA MUNICIPAL DA SAÚDE</t>
  </si>
  <si>
    <t>FONTE: Sistema CECAM, Unidade Responsável: CONTABILIDADE. Emissão: 19/11/2019, às 07:20:53. Assinado Digitalmente no dia 19/11/2019, às 07:20:53.</t>
  </si>
  <si>
    <r>
      <rPr>
        <b/>
        <sz val="10"/>
        <rFont val="Times New Roman"/>
        <family val="1"/>
      </rPr>
      <t>NOTA EXPLICATIVA:</t>
    </r>
    <r>
      <rPr>
        <sz val="10"/>
        <rFont val="Times New Roman"/>
        <family val="1"/>
      </rPr>
      <t xml:space="preserve"> Nos valores da linha "Rendimentos de Aplicação Financeira" não foram computados os rendimentos de aplicação financeira do RPPS, para não prejudicar a apuração do percentual dos limites do RREO e RGF, uma vez que se tratam de recursos vinculados e exclusivos que somente poderão ser utilizados para pagamento de benefícios previdenciários.</t>
    </r>
  </si>
  <si>
    <t>Considerando a destinação específica dada aos recursos vinculados ao RPPS na Lei 9.717/98, entendemos que os ganhos com aplicação financeira registrados pelo RPPS devem ser deduzidos da RCL, pois do contrário esta variável aumentará, dando, de maneira indevida, uma margem maior para endividamento e gastos com pessoal aos entes municipais.</t>
  </si>
  <si>
    <t>FONTE: Sistema CECAM, Unidade Responsável: CONTABILIDADE. Emissão: 23/01/2020, às 08:13:54. Assinado Digitalmente no dia 23/01/2020, às 08:13:54.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</si>
</sst>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6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0"/>
      <name val="Times New Roman"/>
      <family val="1"/>
    </font>
    <font>
      <sz val="8"/>
      <color indexed="8"/>
      <name val="Times New Roman"/>
      <family val="1"/>
    </font>
    <font>
      <b/>
      <u/>
      <sz val="8"/>
      <name val="Times New Roman"/>
      <family val="1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sz val="12"/>
      <color indexed="8"/>
      <name val="Times New Roman"/>
      <family val="1"/>
    </font>
    <font>
      <i/>
      <sz val="10"/>
      <color indexed="8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</font>
    <font>
      <b/>
      <sz val="8"/>
      <color indexed="8"/>
      <name val="Times New Roman"/>
      <family val="1"/>
    </font>
    <font>
      <sz val="10"/>
      <name val="Arial"/>
      <family val="2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11"/>
      <name val="Times New Roman"/>
      <family val="1"/>
    </font>
    <font>
      <b/>
      <sz val="20"/>
      <name val="Times New Roman"/>
      <family val="1"/>
    </font>
    <font>
      <b/>
      <sz val="2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color rgb="FFFF0000"/>
      <name val="Times New Roman"/>
      <family val="1"/>
    </font>
    <font>
      <strike/>
      <sz val="8"/>
      <color rgb="FFFF0000"/>
      <name val="Times New Roman"/>
      <family val="1"/>
    </font>
    <font>
      <sz val="8"/>
      <color theme="1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color theme="1"/>
      <name val="Times New Roman"/>
      <family val="1"/>
    </font>
    <font>
      <b/>
      <sz val="8"/>
      <color rgb="FFFF0000"/>
      <name val="Times New Roman"/>
      <family val="1"/>
    </font>
    <font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9847407452621"/>
      </patternFill>
    </fill>
    <fill>
      <patternFill patternType="lightUp">
        <bgColor theme="0" tint="-0.14996795556505021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11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1" fillId="0" borderId="0" xfId="0" applyNumberFormat="1" applyFont="1" applyFill="1" applyAlignment="1"/>
    <xf numFmtId="37" fontId="2" fillId="0" borderId="0" xfId="0" applyNumberFormat="1" applyFont="1" applyFill="1" applyAlignment="1"/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2" fillId="0" borderId="10" xfId="0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right" vertical="top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9" fillId="0" borderId="0" xfId="0" applyNumberFormat="1" applyFont="1" applyFill="1" applyAlignment="1"/>
    <xf numFmtId="0" fontId="4" fillId="0" borderId="0" xfId="0" applyNumberFormat="1" applyFont="1" applyFill="1" applyAlignment="1"/>
    <xf numFmtId="0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166" fontId="4" fillId="0" borderId="0" xfId="0" applyNumberFormat="1" applyFont="1" applyFill="1" applyAlignment="1"/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49" fontId="4" fillId="0" borderId="1" xfId="0" applyNumberFormat="1" applyFont="1" applyFill="1" applyBorder="1" applyAlignment="1"/>
    <xf numFmtId="49" fontId="4" fillId="0" borderId="11" xfId="0" applyNumberFormat="1" applyFont="1" applyFill="1" applyBorder="1" applyAlignment="1"/>
    <xf numFmtId="0" fontId="4" fillId="0" borderId="12" xfId="0" applyNumberFormat="1" applyFont="1" applyFill="1" applyBorder="1" applyAlignment="1">
      <alignment wrapText="1"/>
    </xf>
    <xf numFmtId="49" fontId="4" fillId="0" borderId="13" xfId="0" applyNumberFormat="1" applyFont="1" applyFill="1" applyBorder="1" applyAlignment="1"/>
    <xf numFmtId="0" fontId="4" fillId="0" borderId="2" xfId="0" applyNumberFormat="1" applyFont="1" applyFill="1" applyBorder="1" applyAlignment="1"/>
    <xf numFmtId="0" fontId="4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/>
    <xf numFmtId="0" fontId="4" fillId="0" borderId="9" xfId="0" applyNumberFormat="1" applyFont="1" applyFill="1" applyBorder="1" applyAlignment="1"/>
    <xf numFmtId="0" fontId="4" fillId="0" borderId="13" xfId="0" applyNumberFormat="1" applyFont="1" applyFill="1" applyBorder="1" applyAlignment="1"/>
    <xf numFmtId="49" fontId="4" fillId="0" borderId="6" xfId="0" applyNumberFormat="1" applyFont="1" applyFill="1" applyBorder="1" applyAlignment="1"/>
    <xf numFmtId="0" fontId="11" fillId="0" borderId="0" xfId="0" applyNumberFormat="1" applyFont="1" applyFill="1" applyAlignment="1"/>
    <xf numFmtId="0" fontId="4" fillId="2" borderId="6" xfId="0" applyFont="1" applyFill="1" applyBorder="1" applyAlignment="1"/>
    <xf numFmtId="49" fontId="4" fillId="2" borderId="13" xfId="0" applyNumberFormat="1" applyFont="1" applyFill="1" applyBorder="1" applyAlignment="1"/>
    <xf numFmtId="0" fontId="4" fillId="2" borderId="2" xfId="0" applyNumberFormat="1" applyFont="1" applyFill="1" applyBorder="1" applyAlignment="1"/>
    <xf numFmtId="0" fontId="4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Border="1"/>
    <xf numFmtId="166" fontId="4" fillId="0" borderId="0" xfId="0" applyNumberFormat="1" applyFont="1" applyFill="1"/>
    <xf numFmtId="0" fontId="4" fillId="0" borderId="1" xfId="0" applyFont="1" applyFill="1" applyBorder="1" applyAlignment="1"/>
    <xf numFmtId="0" fontId="4" fillId="0" borderId="1" xfId="0" applyFont="1" applyFill="1" applyBorder="1"/>
    <xf numFmtId="0" fontId="4" fillId="0" borderId="3" xfId="0" applyFont="1" applyFill="1" applyBorder="1"/>
    <xf numFmtId="0" fontId="4" fillId="0" borderId="0" xfId="0" applyNumberFormat="1" applyFont="1" applyFill="1" applyBorder="1"/>
    <xf numFmtId="0" fontId="4" fillId="2" borderId="12" xfId="0" applyFont="1" applyFill="1" applyBorder="1" applyAlignment="1"/>
    <xf numFmtId="0" fontId="4" fillId="2" borderId="11" xfId="0" applyFont="1" applyFill="1" applyBorder="1" applyAlignment="1">
      <alignment vertical="center"/>
    </xf>
    <xf numFmtId="49" fontId="9" fillId="0" borderId="0" xfId="0" applyNumberFormat="1" applyFont="1" applyFill="1" applyBorder="1" applyAlignment="1"/>
    <xf numFmtId="0" fontId="9" fillId="0" borderId="0" xfId="0" applyFont="1" applyFill="1" applyAlignment="1"/>
    <xf numFmtId="49" fontId="9" fillId="0" borderId="1" xfId="0" applyNumberFormat="1" applyFont="1" applyFill="1" applyBorder="1" applyAlignment="1">
      <alignment horizontal="left"/>
    </xf>
    <xf numFmtId="49" fontId="9" fillId="2" borderId="13" xfId="0" applyNumberFormat="1" applyFont="1" applyFill="1" applyBorder="1" applyAlignment="1"/>
    <xf numFmtId="0" fontId="9" fillId="2" borderId="12" xfId="0" applyFont="1" applyFill="1" applyBorder="1" applyAlignment="1"/>
    <xf numFmtId="49" fontId="9" fillId="2" borderId="14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6" xfId="0" applyFont="1" applyFill="1" applyBorder="1" applyAlignment="1"/>
    <xf numFmtId="49" fontId="9" fillId="2" borderId="7" xfId="0" applyNumberFormat="1" applyFont="1" applyFill="1" applyBorder="1" applyAlignment="1">
      <alignment horizontal="center"/>
    </xf>
    <xf numFmtId="49" fontId="9" fillId="2" borderId="5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Fill="1" applyBorder="1" applyAlignment="1"/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37" fontId="4" fillId="0" borderId="0" xfId="0" applyNumberFormat="1" applyFont="1" applyFill="1" applyBorder="1" applyAlignment="1">
      <alignment vertical="center"/>
    </xf>
    <xf numFmtId="37" fontId="4" fillId="0" borderId="0" xfId="0" applyNumberFormat="1" applyFont="1" applyFill="1" applyBorder="1" applyAlignment="1"/>
    <xf numFmtId="0" fontId="4" fillId="0" borderId="2" xfId="0" applyFont="1" applyBorder="1" applyAlignment="1">
      <alignment horizontal="justify" vertical="top" wrapText="1"/>
    </xf>
    <xf numFmtId="0" fontId="4" fillId="0" borderId="0" xfId="0" applyFont="1" applyFill="1" applyBorder="1" applyAlignment="1">
      <alignment vertical="top"/>
    </xf>
    <xf numFmtId="37" fontId="4" fillId="0" borderId="0" xfId="0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/>
    </xf>
    <xf numFmtId="0" fontId="13" fillId="0" borderId="0" xfId="0" applyNumberFormat="1" applyFont="1" applyFill="1" applyAlignment="1"/>
    <xf numFmtId="49" fontId="4" fillId="0" borderId="0" xfId="0" applyNumberFormat="1" applyFont="1" applyFill="1" applyAlignment="1">
      <alignment wrapText="1"/>
    </xf>
    <xf numFmtId="0" fontId="13" fillId="0" borderId="0" xfId="0" applyFont="1" applyFill="1" applyAlignment="1"/>
    <xf numFmtId="0" fontId="15" fillId="0" borderId="0" xfId="0" applyFont="1" applyFill="1"/>
    <xf numFmtId="0" fontId="4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indent="2"/>
    </xf>
    <xf numFmtId="0" fontId="11" fillId="0" borderId="0" xfId="1" applyNumberFormat="1" applyFont="1" applyFill="1" applyAlignment="1"/>
    <xf numFmtId="0" fontId="4" fillId="0" borderId="0" xfId="1" applyFont="1" applyFill="1" applyAlignment="1"/>
    <xf numFmtId="0" fontId="4" fillId="0" borderId="0" xfId="1" applyFont="1" applyFill="1" applyBorder="1" applyAlignment="1"/>
    <xf numFmtId="164" fontId="4" fillId="0" borderId="0" xfId="1" applyNumberFormat="1" applyFont="1" applyFill="1" applyAlignment="1">
      <alignment horizontal="right"/>
    </xf>
    <xf numFmtId="0" fontId="4" fillId="2" borderId="10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7" xfId="1" applyFont="1" applyFill="1" applyBorder="1" applyAlignment="1"/>
    <xf numFmtId="0" fontId="13" fillId="0" borderId="0" xfId="1" applyFont="1" applyFill="1" applyBorder="1" applyAlignment="1"/>
    <xf numFmtId="0" fontId="4" fillId="0" borderId="0" xfId="1" applyFont="1" applyAlignment="1">
      <alignment wrapText="1"/>
    </xf>
    <xf numFmtId="0" fontId="4" fillId="0" borderId="0" xfId="1" applyFont="1" applyAlignment="1">
      <alignment horizontal="right" vertical="top" wrapText="1"/>
    </xf>
    <xf numFmtId="0" fontId="2" fillId="0" borderId="0" xfId="1" applyFont="1" applyFill="1" applyAlignment="1"/>
    <xf numFmtId="0" fontId="2" fillId="0" borderId="0" xfId="1" applyFont="1" applyFill="1" applyBorder="1" applyAlignment="1"/>
    <xf numFmtId="0" fontId="1" fillId="2" borderId="10" xfId="1" applyFont="1" applyFill="1" applyBorder="1" applyAlignment="1">
      <alignment horizontal="center"/>
    </xf>
    <xf numFmtId="0" fontId="1" fillId="2" borderId="7" xfId="1" applyFont="1" applyFill="1" applyBorder="1" applyAlignment="1">
      <alignment horizontal="center"/>
    </xf>
    <xf numFmtId="0" fontId="2" fillId="0" borderId="12" xfId="1" applyFont="1" applyFill="1" applyBorder="1" applyAlignment="1"/>
    <xf numFmtId="0" fontId="2" fillId="0" borderId="1" xfId="1" applyFont="1" applyFill="1" applyBorder="1" applyAlignment="1"/>
    <xf numFmtId="0" fontId="1" fillId="2" borderId="12" xfId="1" applyFont="1" applyFill="1" applyBorder="1" applyAlignment="1">
      <alignment horizontal="center" vertical="center" wrapText="1"/>
    </xf>
    <xf numFmtId="37" fontId="1" fillId="2" borderId="10" xfId="1" applyNumberFormat="1" applyFont="1" applyFill="1" applyBorder="1" applyAlignment="1">
      <alignment horizontal="center"/>
    </xf>
    <xf numFmtId="37" fontId="1" fillId="2" borderId="3" xfId="1" applyNumberFormat="1" applyFont="1" applyFill="1" applyBorder="1" applyAlignment="1">
      <alignment horizontal="center"/>
    </xf>
    <xf numFmtId="37" fontId="1" fillId="2" borderId="9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horizontal="center"/>
    </xf>
    <xf numFmtId="49" fontId="6" fillId="2" borderId="0" xfId="1" applyNumberFormat="1" applyFont="1" applyFill="1" applyBorder="1" applyAlignment="1">
      <alignment horizontal="center"/>
    </xf>
    <xf numFmtId="0" fontId="1" fillId="2" borderId="6" xfId="1" applyFont="1" applyFill="1" applyBorder="1" applyAlignment="1">
      <alignment horizontal="center" vertical="center" wrapText="1"/>
    </xf>
    <xf numFmtId="37" fontId="1" fillId="2" borderId="7" xfId="1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/>
    <xf numFmtId="49" fontId="2" fillId="0" borderId="13" xfId="1" applyNumberFormat="1" applyFont="1" applyFill="1" applyBorder="1" applyAlignment="1">
      <alignment horizontal="left" indent="1"/>
    </xf>
    <xf numFmtId="37" fontId="2" fillId="0" borderId="15" xfId="1" applyNumberFormat="1" applyFont="1" applyFill="1" applyBorder="1" applyAlignment="1"/>
    <xf numFmtId="0" fontId="4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left" vertical="top" wrapText="1"/>
    </xf>
    <xf numFmtId="0" fontId="13" fillId="0" borderId="0" xfId="1" applyFont="1" applyFill="1" applyAlignment="1"/>
    <xf numFmtId="0" fontId="9" fillId="0" borderId="0" xfId="1" applyFont="1" applyFill="1" applyAlignment="1"/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vertical="center"/>
    </xf>
    <xf numFmtId="0" fontId="8" fillId="0" borderId="0" xfId="1" applyFont="1" applyFill="1" applyBorder="1" applyAlignment="1"/>
    <xf numFmtId="0" fontId="4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wrapText="1"/>
    </xf>
    <xf numFmtId="0" fontId="4" fillId="0" borderId="0" xfId="0" applyFont="1" applyFill="1" applyBorder="1" applyAlignment="1">
      <alignment vertical="center" wrapText="1"/>
    </xf>
    <xf numFmtId="0" fontId="4" fillId="0" borderId="7" xfId="0" applyNumberFormat="1" applyFont="1" applyFill="1" applyBorder="1" applyAlignment="1"/>
    <xf numFmtId="0" fontId="4" fillId="0" borderId="15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1" fillId="2" borderId="10" xfId="1" applyFont="1" applyFill="1" applyBorder="1" applyAlignment="1">
      <alignment horizontal="center" vertical="top" wrapText="1"/>
    </xf>
    <xf numFmtId="0" fontId="1" fillId="2" borderId="9" xfId="1" applyFont="1" applyFill="1" applyBorder="1" applyAlignment="1">
      <alignment horizontal="center" vertical="top" wrapText="1"/>
    </xf>
    <xf numFmtId="0" fontId="4" fillId="0" borderId="0" xfId="1" applyFont="1" applyFill="1" applyAlignment="1">
      <alignment horizontal="center" vertical="center"/>
    </xf>
    <xf numFmtId="0" fontId="4" fillId="0" borderId="0" xfId="2" applyFont="1" applyFill="1" applyBorder="1" applyAlignment="1">
      <alignment vertical="center"/>
    </xf>
    <xf numFmtId="0" fontId="9" fillId="0" borderId="0" xfId="1" applyFont="1" applyFill="1" applyBorder="1" applyAlignment="1"/>
    <xf numFmtId="0" fontId="4" fillId="0" borderId="0" xfId="2" applyFont="1" applyFill="1" applyBorder="1" applyAlignment="1"/>
    <xf numFmtId="0" fontId="4" fillId="0" borderId="10" xfId="0" applyNumberFormat="1" applyFont="1" applyFill="1" applyBorder="1" applyAlignment="1">
      <alignment wrapText="1"/>
    </xf>
    <xf numFmtId="0" fontId="4" fillId="0" borderId="15" xfId="0" applyNumberFormat="1" applyFont="1" applyFill="1" applyBorder="1" applyAlignment="1"/>
    <xf numFmtId="0" fontId="4" fillId="0" borderId="0" xfId="1" applyFont="1" applyFill="1" applyAlignment="1">
      <alignment horizontal="left" vertical="center"/>
    </xf>
    <xf numFmtId="0" fontId="4" fillId="0" borderId="0" xfId="1" applyFont="1" applyBorder="1" applyAlignment="1">
      <alignment horizontal="right" vertical="top" wrapText="1"/>
    </xf>
    <xf numFmtId="164" fontId="4" fillId="0" borderId="0" xfId="1" applyNumberFormat="1" applyFont="1" applyBorder="1" applyAlignment="1">
      <alignment horizontal="right" vertical="top" wrapText="1"/>
    </xf>
    <xf numFmtId="0" fontId="4" fillId="0" borderId="8" xfId="1" applyFont="1" applyBorder="1" applyAlignment="1">
      <alignment horizontal="left" wrapText="1"/>
    </xf>
    <xf numFmtId="164" fontId="4" fillId="2" borderId="7" xfId="1" applyNumberFormat="1" applyFont="1" applyFill="1" applyBorder="1" applyAlignment="1">
      <alignment horizontal="right" vertical="top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left" wrapText="1"/>
    </xf>
    <xf numFmtId="0" fontId="12" fillId="2" borderId="7" xfId="1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/>
    <xf numFmtId="49" fontId="9" fillId="2" borderId="10" xfId="0" applyNumberFormat="1" applyFont="1" applyFill="1" applyBorder="1" applyAlignment="1">
      <alignment horizontal="center"/>
    </xf>
    <xf numFmtId="0" fontId="9" fillId="2" borderId="15" xfId="0" applyNumberFormat="1" applyFont="1" applyFill="1" applyBorder="1" applyAlignment="1"/>
    <xf numFmtId="0" fontId="9" fillId="2" borderId="10" xfId="0" applyNumberFormat="1" applyFont="1" applyFill="1" applyBorder="1" applyAlignment="1">
      <alignment horizontal="center"/>
    </xf>
    <xf numFmtId="0" fontId="9" fillId="2" borderId="14" xfId="0" applyNumberFormat="1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center"/>
    </xf>
    <xf numFmtId="0" fontId="9" fillId="2" borderId="9" xfId="0" applyNumberFormat="1" applyFont="1" applyFill="1" applyBorder="1" applyAlignment="1">
      <alignment horizontal="center"/>
    </xf>
    <xf numFmtId="0" fontId="9" fillId="2" borderId="3" xfId="0" applyNumberFormat="1" applyFont="1" applyFill="1" applyBorder="1" applyAlignment="1">
      <alignment horizontal="center" wrapText="1"/>
    </xf>
    <xf numFmtId="0" fontId="9" fillId="2" borderId="3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/>
    <xf numFmtId="0" fontId="9" fillId="2" borderId="7" xfId="0" applyNumberFormat="1" applyFont="1" applyFill="1" applyBorder="1" applyAlignment="1">
      <alignment horizontal="center"/>
    </xf>
    <xf numFmtId="0" fontId="9" fillId="2" borderId="7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4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9" fillId="2" borderId="13" xfId="0" applyNumberFormat="1" applyFont="1" applyFill="1" applyBorder="1" applyAlignment="1"/>
    <xf numFmtId="49" fontId="9" fillId="2" borderId="13" xfId="0" applyNumberFormat="1" applyFont="1" applyFill="1" applyBorder="1" applyAlignment="1">
      <alignment vertical="center"/>
    </xf>
    <xf numFmtId="49" fontId="9" fillId="2" borderId="11" xfId="0" applyNumberFormat="1" applyFont="1" applyFill="1" applyBorder="1" applyAlignment="1">
      <alignment horizontal="justify" vertical="center"/>
    </xf>
    <xf numFmtId="0" fontId="9" fillId="2" borderId="10" xfId="1" applyFont="1" applyFill="1" applyBorder="1" applyAlignment="1"/>
    <xf numFmtId="0" fontId="9" fillId="2" borderId="9" xfId="1" applyFont="1" applyFill="1" applyBorder="1" applyAlignment="1">
      <alignment horizontal="center"/>
    </xf>
    <xf numFmtId="0" fontId="9" fillId="2" borderId="7" xfId="1" applyFont="1" applyFill="1" applyBorder="1" applyAlignment="1"/>
    <xf numFmtId="0" fontId="9" fillId="2" borderId="1" xfId="0" applyFont="1" applyFill="1" applyBorder="1" applyAlignment="1"/>
    <xf numFmtId="37" fontId="1" fillId="2" borderId="10" xfId="1" applyNumberFormat="1" applyFont="1" applyFill="1" applyBorder="1" applyAlignment="1">
      <alignment horizontal="center" vertical="top" wrapText="1"/>
    </xf>
    <xf numFmtId="37" fontId="1" fillId="2" borderId="14" xfId="1" applyNumberFormat="1" applyFont="1" applyFill="1" applyBorder="1" applyAlignment="1">
      <alignment horizontal="center"/>
    </xf>
    <xf numFmtId="37" fontId="1" fillId="2" borderId="5" xfId="1" applyNumberFormat="1" applyFont="1" applyFill="1" applyBorder="1" applyAlignment="1">
      <alignment horizontal="center"/>
    </xf>
    <xf numFmtId="37" fontId="1" fillId="2" borderId="9" xfId="1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2" borderId="12" xfId="0" applyNumberFormat="1" applyFont="1" applyFill="1" applyBorder="1" applyAlignme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indent="2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/>
    <xf numFmtId="0" fontId="4" fillId="2" borderId="13" xfId="0" applyNumberFormat="1" applyFont="1" applyFill="1" applyBorder="1" applyAlignment="1"/>
    <xf numFmtId="0" fontId="4" fillId="0" borderId="0" xfId="1" applyFont="1" applyFill="1" applyAlignment="1">
      <alignment horizontal="left"/>
    </xf>
    <xf numFmtId="0" fontId="4" fillId="2" borderId="10" xfId="1" applyFont="1" applyFill="1" applyBorder="1" applyAlignment="1">
      <alignment horizontal="center" vertical="top" wrapText="1"/>
    </xf>
    <xf numFmtId="0" fontId="9" fillId="2" borderId="5" xfId="1" applyFont="1" applyFill="1" applyBorder="1" applyAlignment="1">
      <alignment horizontal="center" vertical="top" wrapText="1"/>
    </xf>
    <xf numFmtId="37" fontId="2" fillId="0" borderId="13" xfId="1" applyNumberFormat="1" applyFont="1" applyFill="1" applyBorder="1" applyAlignment="1">
      <alignment horizontal="center"/>
    </xf>
    <xf numFmtId="0" fontId="9" fillId="2" borderId="10" xfId="0" applyFont="1" applyFill="1" applyBorder="1" applyAlignment="1"/>
    <xf numFmtId="0" fontId="9" fillId="2" borderId="10" xfId="0" applyFont="1" applyFill="1" applyBorder="1" applyAlignment="1">
      <alignment horizontal="center"/>
    </xf>
    <xf numFmtId="0" fontId="9" fillId="2" borderId="9" xfId="0" applyFont="1" applyFill="1" applyBorder="1" applyAlignment="1"/>
    <xf numFmtId="0" fontId="9" fillId="2" borderId="9" xfId="0" applyFont="1" applyFill="1" applyBorder="1" applyAlignment="1">
      <alignment horizontal="center"/>
    </xf>
    <xf numFmtId="0" fontId="2" fillId="0" borderId="13" xfId="1" applyFont="1" applyFill="1" applyBorder="1" applyAlignment="1">
      <alignment horizontal="left" indent="1"/>
    </xf>
    <xf numFmtId="49" fontId="9" fillId="2" borderId="5" xfId="0" applyNumberFormat="1" applyFont="1" applyFill="1" applyBorder="1" applyAlignment="1">
      <alignment horizontal="center"/>
    </xf>
    <xf numFmtId="0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49" fontId="9" fillId="2" borderId="3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28" fillId="0" borderId="0" xfId="0" applyFont="1" applyFill="1"/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2" borderId="9" xfId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37" fontId="4" fillId="0" borderId="0" xfId="0" applyNumberFormat="1" applyFont="1" applyFill="1" applyBorder="1" applyAlignment="1">
      <alignment horizontal="center"/>
    </xf>
    <xf numFmtId="37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166" fontId="9" fillId="2" borderId="7" xfId="0" applyNumberFormat="1" applyFont="1" applyFill="1" applyBorder="1" applyAlignment="1">
      <alignment horizontal="center"/>
    </xf>
    <xf numFmtId="166" fontId="9" fillId="2" borderId="10" xfId="0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vertical="center" wrapText="1"/>
    </xf>
    <xf numFmtId="37" fontId="4" fillId="3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9" fillId="3" borderId="0" xfId="0" applyNumberFormat="1" applyFont="1" applyFill="1" applyBorder="1" applyAlignment="1"/>
    <xf numFmtId="0" fontId="4" fillId="3" borderId="0" xfId="0" applyNumberFormat="1" applyFont="1" applyFill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4" fillId="0" borderId="11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justify" vertical="top" wrapText="1"/>
    </xf>
    <xf numFmtId="0" fontId="1" fillId="2" borderId="7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left" vertical="center" wrapText="1"/>
    </xf>
    <xf numFmtId="0" fontId="2" fillId="0" borderId="15" xfId="0" applyFont="1" applyFill="1" applyBorder="1" applyAlignment="1"/>
    <xf numFmtId="0" fontId="1" fillId="2" borderId="1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5" fillId="0" borderId="8" xfId="0" applyFont="1" applyFill="1" applyBorder="1"/>
    <xf numFmtId="0" fontId="1" fillId="2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9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37" fontId="2" fillId="0" borderId="0" xfId="0" applyNumberFormat="1" applyFont="1" applyFill="1" applyAlignment="1">
      <alignment wrapText="1"/>
    </xf>
    <xf numFmtId="0" fontId="1" fillId="2" borderId="10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9" fontId="2" fillId="0" borderId="0" xfId="0" applyNumberFormat="1" applyFont="1" applyFill="1" applyBorder="1" applyAlignment="1">
      <alignment horizontal="center" wrapText="1"/>
    </xf>
    <xf numFmtId="37" fontId="2" fillId="0" borderId="0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37" fontId="1" fillId="2" borderId="8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9" fontId="2" fillId="0" borderId="0" xfId="0" applyNumberFormat="1" applyFont="1" applyFill="1" applyBorder="1" applyAlignment="1">
      <alignment wrapText="1"/>
    </xf>
    <xf numFmtId="0" fontId="4" fillId="2" borderId="5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 vertical="top" wrapText="1"/>
    </xf>
    <xf numFmtId="0" fontId="9" fillId="2" borderId="9" xfId="1" applyFont="1" applyFill="1" applyBorder="1" applyAlignment="1">
      <alignment horizontal="center" vertical="top" wrapText="1"/>
    </xf>
    <xf numFmtId="0" fontId="9" fillId="2" borderId="14" xfId="1" applyFont="1" applyFill="1" applyBorder="1" applyAlignment="1">
      <alignment horizontal="center" vertical="top" wrapText="1"/>
    </xf>
    <xf numFmtId="0" fontId="9" fillId="2" borderId="7" xfId="1" applyFont="1" applyFill="1" applyBorder="1" applyAlignment="1">
      <alignment horizontal="center" vertical="top" wrapText="1"/>
    </xf>
    <xf numFmtId="0" fontId="9" fillId="2" borderId="7" xfId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37" fontId="1" fillId="2" borderId="15" xfId="1" applyNumberFormat="1" applyFont="1" applyFill="1" applyBorder="1" applyAlignment="1">
      <alignment horizontal="center"/>
    </xf>
    <xf numFmtId="37" fontId="1" fillId="2" borderId="2" xfId="1" applyNumberFormat="1" applyFont="1" applyFill="1" applyBorder="1" applyAlignment="1">
      <alignment horizontal="center"/>
    </xf>
    <xf numFmtId="0" fontId="1" fillId="2" borderId="14" xfId="1" applyFont="1" applyFill="1" applyBorder="1" applyAlignment="1">
      <alignment horizontal="center"/>
    </xf>
    <xf numFmtId="0" fontId="1" fillId="2" borderId="5" xfId="1" applyFont="1" applyFill="1" applyBorder="1" applyAlignment="1">
      <alignment horizontal="center"/>
    </xf>
    <xf numFmtId="0" fontId="4" fillId="2" borderId="10" xfId="1" applyFont="1" applyFill="1" applyBorder="1" applyAlignment="1"/>
    <xf numFmtId="0" fontId="4" fillId="0" borderId="0" xfId="1" applyFont="1" applyFill="1" applyBorder="1" applyAlignment="1">
      <alignment vertical="center"/>
    </xf>
    <xf numFmtId="0" fontId="9" fillId="2" borderId="10" xfId="1" applyFont="1" applyFill="1" applyBorder="1" applyAlignment="1">
      <alignment horizontal="center" vertical="top"/>
    </xf>
    <xf numFmtId="0" fontId="9" fillId="2" borderId="12" xfId="1" applyFont="1" applyFill="1" applyBorder="1" applyAlignment="1">
      <alignment horizontal="center" vertical="top"/>
    </xf>
    <xf numFmtId="0" fontId="9" fillId="2" borderId="6" xfId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/>
    <xf numFmtId="43" fontId="4" fillId="0" borderId="3" xfId="4" applyFont="1" applyFill="1" applyBorder="1" applyAlignment="1">
      <alignment horizontal="right"/>
    </xf>
    <xf numFmtId="43" fontId="4" fillId="0" borderId="9" xfId="4" applyFont="1" applyFill="1" applyBorder="1" applyAlignment="1">
      <alignment horizontal="right"/>
    </xf>
    <xf numFmtId="43" fontId="2" fillId="0" borderId="10" xfId="4" applyFont="1" applyFill="1" applyBorder="1" applyAlignment="1">
      <alignment horizontal="right"/>
    </xf>
    <xf numFmtId="43" fontId="2" fillId="0" borderId="0" xfId="4" applyFont="1" applyFill="1" applyBorder="1" applyAlignment="1">
      <alignment horizontal="right"/>
    </xf>
    <xf numFmtId="43" fontId="2" fillId="0" borderId="9" xfId="4" applyFont="1" applyFill="1" applyBorder="1" applyAlignment="1">
      <alignment horizontal="right"/>
    </xf>
    <xf numFmtId="43" fontId="2" fillId="0" borderId="14" xfId="4" applyFont="1" applyFill="1" applyBorder="1" applyAlignment="1">
      <alignment horizontal="right"/>
    </xf>
    <xf numFmtId="43" fontId="2" fillId="0" borderId="3" xfId="4" applyFont="1" applyFill="1" applyBorder="1" applyAlignment="1">
      <alignment horizontal="right"/>
    </xf>
    <xf numFmtId="43" fontId="2" fillId="0" borderId="7" xfId="4" applyFont="1" applyFill="1" applyBorder="1" applyAlignment="1">
      <alignment horizontal="right"/>
    </xf>
    <xf numFmtId="43" fontId="2" fillId="0" borderId="8" xfId="4" applyFont="1" applyFill="1" applyBorder="1" applyAlignment="1">
      <alignment horizontal="right"/>
    </xf>
    <xf numFmtId="43" fontId="2" fillId="0" borderId="13" xfId="4" applyFont="1" applyFill="1" applyBorder="1" applyAlignment="1">
      <alignment horizontal="right"/>
    </xf>
    <xf numFmtId="43" fontId="2" fillId="0" borderId="3" xfId="4" applyFont="1" applyFill="1" applyBorder="1" applyAlignment="1">
      <alignment horizontal="right" wrapText="1"/>
    </xf>
    <xf numFmtId="43" fontId="2" fillId="0" borderId="9" xfId="4" applyFont="1" applyFill="1" applyBorder="1" applyAlignment="1">
      <alignment horizontal="right" wrapText="1"/>
    </xf>
    <xf numFmtId="43" fontId="2" fillId="0" borderId="7" xfId="4" applyFont="1" applyFill="1" applyBorder="1" applyAlignment="1">
      <alignment horizontal="right" wrapText="1"/>
    </xf>
    <xf numFmtId="43" fontId="2" fillId="0" borderId="1" xfId="4" applyFont="1" applyFill="1" applyBorder="1" applyAlignment="1">
      <alignment horizontal="right" wrapText="1"/>
    </xf>
    <xf numFmtId="43" fontId="2" fillId="0" borderId="10" xfId="4" applyFont="1" applyFill="1" applyBorder="1" applyAlignment="1">
      <alignment horizontal="right" wrapText="1"/>
    </xf>
    <xf numFmtId="43" fontId="2" fillId="0" borderId="6" xfId="4" applyFont="1" applyFill="1" applyBorder="1" applyAlignment="1">
      <alignment horizontal="right" wrapText="1"/>
    </xf>
    <xf numFmtId="43" fontId="2" fillId="0" borderId="11" xfId="4" applyFont="1" applyFill="1" applyBorder="1" applyAlignment="1">
      <alignment horizontal="right" wrapText="1"/>
    </xf>
    <xf numFmtId="0" fontId="9" fillId="0" borderId="0" xfId="1" applyFont="1" applyFill="1" applyAlignment="1">
      <alignment horizontal="left"/>
    </xf>
    <xf numFmtId="0" fontId="1" fillId="2" borderId="10" xfId="0" applyFont="1" applyFill="1" applyBorder="1" applyAlignment="1">
      <alignment horizontal="center" vertical="top" wrapText="1"/>
    </xf>
    <xf numFmtId="43" fontId="30" fillId="0" borderId="15" xfId="4" applyFont="1" applyFill="1" applyBorder="1" applyAlignment="1">
      <alignment horizontal="right" wrapText="1"/>
    </xf>
    <xf numFmtId="43" fontId="30" fillId="0" borderId="0" xfId="4" applyFont="1" applyFill="1" applyBorder="1" applyAlignment="1">
      <alignment horizontal="right" wrapText="1"/>
    </xf>
    <xf numFmtId="43" fontId="30" fillId="0" borderId="2" xfId="4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/>
    </xf>
    <xf numFmtId="0" fontId="4" fillId="0" borderId="0" xfId="1" applyFont="1" applyFill="1"/>
    <xf numFmtId="0" fontId="4" fillId="0" borderId="0" xfId="0" applyFont="1"/>
    <xf numFmtId="0" fontId="4" fillId="3" borderId="0" xfId="0" applyFont="1" applyFill="1"/>
    <xf numFmtId="0" fontId="2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2" borderId="5" xfId="0" applyFont="1" applyFill="1" applyBorder="1" applyAlignment="1"/>
    <xf numFmtId="0" fontId="1" fillId="2" borderId="7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2" fillId="0" borderId="14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43" fontId="2" fillId="0" borderId="5" xfId="4" applyFont="1" applyFill="1" applyBorder="1" applyAlignment="1">
      <alignment horizontal="right"/>
    </xf>
    <xf numFmtId="0" fontId="1" fillId="0" borderId="4" xfId="0" applyFont="1" applyFill="1" applyBorder="1" applyAlignment="1">
      <alignment wrapText="1"/>
    </xf>
    <xf numFmtId="43" fontId="2" fillId="0" borderId="4" xfId="4" applyFont="1" applyFill="1" applyBorder="1" applyAlignment="1">
      <alignment horizontal="right"/>
    </xf>
    <xf numFmtId="0" fontId="1" fillId="0" borderId="0" xfId="0" applyFont="1" applyFill="1" applyBorder="1" applyAlignment="1"/>
    <xf numFmtId="0" fontId="4" fillId="0" borderId="0" xfId="0" applyFont="1" applyAlignment="1"/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/>
    <xf numFmtId="0" fontId="2" fillId="3" borderId="5" xfId="0" applyFont="1" applyFill="1" applyBorder="1" applyAlignment="1"/>
    <xf numFmtId="0" fontId="1" fillId="0" borderId="4" xfId="0" applyFont="1" applyFill="1" applyBorder="1" applyAlignment="1"/>
    <xf numFmtId="0" fontId="1" fillId="0" borderId="13" xfId="0" applyFont="1" applyFill="1" applyBorder="1" applyAlignment="1"/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1" applyFont="1" applyFill="1" applyBorder="1" applyAlignment="1">
      <alignment horizontal="center" vertical="top" wrapText="1"/>
    </xf>
    <xf numFmtId="0" fontId="2" fillId="0" borderId="14" xfId="0" applyFont="1" applyFill="1" applyBorder="1" applyAlignment="1"/>
    <xf numFmtId="0" fontId="1" fillId="3" borderId="4" xfId="0" applyFont="1" applyFill="1" applyBorder="1" applyAlignment="1"/>
    <xf numFmtId="0" fontId="2" fillId="0" borderId="13" xfId="0" applyFont="1" applyFill="1" applyBorder="1" applyAlignment="1"/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/>
    <xf numFmtId="0" fontId="2" fillId="3" borderId="14" xfId="0" applyFont="1" applyFill="1" applyBorder="1" applyAlignment="1">
      <alignment horizontal="left"/>
    </xf>
    <xf numFmtId="43" fontId="2" fillId="3" borderId="10" xfId="4" applyFont="1" applyFill="1" applyBorder="1" applyAlignment="1">
      <alignment horizontal="right"/>
    </xf>
    <xf numFmtId="43" fontId="2" fillId="3" borderId="12" xfId="4" applyFont="1" applyFill="1" applyBorder="1" applyAlignment="1">
      <alignment horizontal="right"/>
    </xf>
    <xf numFmtId="0" fontId="2" fillId="3" borderId="3" xfId="0" applyFont="1" applyFill="1" applyBorder="1" applyAlignment="1">
      <alignment horizontal="left"/>
    </xf>
    <xf numFmtId="43" fontId="2" fillId="3" borderId="9" xfId="4" applyFont="1" applyFill="1" applyBorder="1" applyAlignment="1">
      <alignment horizontal="right"/>
    </xf>
    <xf numFmtId="43" fontId="2" fillId="3" borderId="1" xfId="4" applyFont="1" applyFill="1" applyBorder="1" applyAlignment="1">
      <alignment horizontal="right"/>
    </xf>
    <xf numFmtId="43" fontId="2" fillId="0" borderId="1" xfId="4" applyFont="1" applyFill="1" applyBorder="1" applyAlignment="1">
      <alignment horizontal="right"/>
    </xf>
    <xf numFmtId="0" fontId="2" fillId="3" borderId="9" xfId="0" applyFont="1" applyFill="1" applyBorder="1" applyAlignment="1"/>
    <xf numFmtId="0" fontId="2" fillId="3" borderId="9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43" fontId="2" fillId="0" borderId="3" xfId="4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wrapText="1"/>
    </xf>
    <xf numFmtId="0" fontId="1" fillId="0" borderId="13" xfId="0" applyFont="1" applyFill="1" applyBorder="1" applyAlignment="1">
      <alignment horizontal="center" wrapText="1"/>
    </xf>
    <xf numFmtId="0" fontId="4" fillId="0" borderId="2" xfId="0" applyFont="1" applyBorder="1" applyAlignment="1"/>
    <xf numFmtId="0" fontId="1" fillId="3" borderId="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wrapText="1"/>
    </xf>
    <xf numFmtId="0" fontId="4" fillId="0" borderId="0" xfId="0" applyFont="1" applyBorder="1" applyAlignment="1"/>
    <xf numFmtId="0" fontId="1" fillId="2" borderId="4" xfId="0" applyFont="1" applyFill="1" applyBorder="1" applyAlignment="1">
      <alignment horizontal="left" vertical="center" wrapText="1"/>
    </xf>
    <xf numFmtId="43" fontId="2" fillId="3" borderId="8" xfId="4" applyFont="1" applyFill="1" applyBorder="1" applyAlignment="1">
      <alignment horizontal="right"/>
    </xf>
    <xf numFmtId="0" fontId="4" fillId="0" borderId="0" xfId="0" applyFont="1" applyBorder="1"/>
    <xf numFmtId="0" fontId="1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/>
    <xf numFmtId="0" fontId="1" fillId="0" borderId="0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left" wrapText="1"/>
    </xf>
    <xf numFmtId="43" fontId="2" fillId="0" borderId="1" xfId="4" applyFont="1" applyBorder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/>
    <xf numFmtId="0" fontId="1" fillId="3" borderId="1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/>
    <xf numFmtId="0" fontId="1" fillId="3" borderId="2" xfId="0" applyFont="1" applyFill="1" applyBorder="1" applyAlignment="1"/>
    <xf numFmtId="0" fontId="6" fillId="2" borderId="14" xfId="0" applyFont="1" applyFill="1" applyBorder="1" applyAlignment="1">
      <alignment horizontal="center"/>
    </xf>
    <xf numFmtId="0" fontId="1" fillId="2" borderId="10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7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/>
    <xf numFmtId="0" fontId="22" fillId="0" borderId="0" xfId="0" applyFont="1" applyFill="1" applyAlignment="1"/>
    <xf numFmtId="0" fontId="2" fillId="0" borderId="0" xfId="0" applyFont="1" applyFill="1" applyBorder="1"/>
    <xf numFmtId="0" fontId="1" fillId="2" borderId="1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37" fontId="4" fillId="0" borderId="0" xfId="0" applyNumberFormat="1" applyFont="1" applyFill="1" applyAlignment="1"/>
    <xf numFmtId="49" fontId="9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top" wrapText="1"/>
    </xf>
    <xf numFmtId="0" fontId="4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4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4" fillId="0" borderId="0" xfId="1" applyFont="1" applyFill="1" applyAlignment="1">
      <alignment horizontal="left" vertical="top"/>
    </xf>
    <xf numFmtId="0" fontId="1" fillId="2" borderId="14" xfId="0" applyFont="1" applyFill="1" applyBorder="1" applyAlignment="1">
      <alignment horizontal="center" vertical="center" wrapText="1"/>
    </xf>
    <xf numFmtId="43" fontId="4" fillId="2" borderId="5" xfId="1" applyNumberFormat="1" applyFont="1" applyFill="1" applyBorder="1" applyAlignment="1">
      <alignment horizontal="center" vertical="center" wrapText="1"/>
    </xf>
    <xf numFmtId="43" fontId="4" fillId="2" borderId="7" xfId="1" applyNumberFormat="1" applyFont="1" applyFill="1" applyBorder="1" applyAlignment="1">
      <alignment horizontal="center" vertical="center" wrapText="1"/>
    </xf>
    <xf numFmtId="43" fontId="2" fillId="0" borderId="9" xfId="4" applyFont="1" applyFill="1" applyBorder="1" applyAlignment="1">
      <alignment horizontal="right" vertical="center"/>
    </xf>
    <xf numFmtId="43" fontId="2" fillId="3" borderId="14" xfId="4" applyFont="1" applyFill="1" applyBorder="1" applyAlignment="1">
      <alignment horizontal="right"/>
    </xf>
    <xf numFmtId="43" fontId="2" fillId="3" borderId="3" xfId="4" applyFont="1" applyFill="1" applyBorder="1" applyAlignment="1">
      <alignment horizontal="right"/>
    </xf>
    <xf numFmtId="49" fontId="9" fillId="0" borderId="0" xfId="0" applyNumberFormat="1" applyFont="1" applyFill="1" applyAlignment="1">
      <alignment horizontal="left"/>
    </xf>
    <xf numFmtId="0" fontId="11" fillId="0" borderId="0" xfId="1" applyFont="1" applyFill="1" applyAlignment="1">
      <alignment horizontal="left"/>
    </xf>
    <xf numFmtId="0" fontId="4" fillId="0" borderId="0" xfId="1" applyFont="1" applyFill="1" applyAlignment="1">
      <alignment horizontal="left" vertical="top" wrapText="1"/>
    </xf>
    <xf numFmtId="0" fontId="11" fillId="0" borderId="0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11" fillId="0" borderId="0" xfId="0" applyFont="1" applyFill="1" applyAlignment="1"/>
    <xf numFmtId="0" fontId="11" fillId="0" borderId="0" xfId="1" applyFont="1" applyBorder="1" applyAlignment="1">
      <alignment horizontal="left" vertical="top"/>
    </xf>
    <xf numFmtId="4" fontId="4" fillId="0" borderId="9" xfId="1" applyNumberFormat="1" applyFont="1" applyBorder="1" applyAlignment="1">
      <alignment horizontal="left" vertical="top" wrapText="1"/>
    </xf>
    <xf numFmtId="4" fontId="4" fillId="0" borderId="0" xfId="1" applyNumberFormat="1" applyFont="1" applyFill="1" applyAlignment="1"/>
    <xf numFmtId="4" fontId="10" fillId="0" borderId="9" xfId="1" applyNumberFormat="1" applyFont="1" applyBorder="1" applyAlignment="1">
      <alignment horizontal="left" vertical="top" wrapText="1"/>
    </xf>
    <xf numFmtId="4" fontId="4" fillId="0" borderId="8" xfId="1" applyNumberFormat="1" applyFont="1" applyBorder="1" applyAlignment="1">
      <alignment horizontal="left" vertical="top" wrapText="1"/>
    </xf>
    <xf numFmtId="4" fontId="4" fillId="0" borderId="13" xfId="1" applyNumberFormat="1" applyFont="1" applyBorder="1" applyAlignment="1">
      <alignment horizontal="left" vertical="top" wrapText="1"/>
    </xf>
    <xf numFmtId="4" fontId="4" fillId="0" borderId="13" xfId="1" applyNumberFormat="1" applyFont="1" applyFill="1" applyBorder="1" applyAlignment="1"/>
    <xf numFmtId="4" fontId="4" fillId="2" borderId="14" xfId="1" applyNumberFormat="1" applyFont="1" applyFill="1" applyBorder="1" applyAlignment="1"/>
    <xf numFmtId="4" fontId="4" fillId="2" borderId="14" xfId="1" applyNumberFormat="1" applyFont="1" applyFill="1" applyBorder="1" applyAlignment="1">
      <alignment horizontal="center"/>
    </xf>
    <xf numFmtId="4" fontId="4" fillId="2" borderId="3" xfId="1" applyNumberFormat="1" applyFont="1" applyFill="1" applyBorder="1" applyAlignment="1">
      <alignment horizontal="center"/>
    </xf>
    <xf numFmtId="4" fontId="4" fillId="2" borderId="10" xfId="1" applyNumberFormat="1" applyFont="1" applyFill="1" applyBorder="1" applyAlignment="1">
      <alignment horizontal="center"/>
    </xf>
    <xf numFmtId="4" fontId="4" fillId="2" borderId="12" xfId="1" applyNumberFormat="1" applyFont="1" applyFill="1" applyBorder="1" applyAlignment="1">
      <alignment horizontal="center"/>
    </xf>
    <xf numFmtId="4" fontId="4" fillId="2" borderId="7" xfId="1" applyNumberFormat="1" applyFont="1" applyFill="1" applyBorder="1" applyAlignment="1"/>
    <xf numFmtId="4" fontId="4" fillId="2" borderId="5" xfId="1" applyNumberFormat="1" applyFont="1" applyFill="1" applyBorder="1" applyAlignment="1">
      <alignment horizontal="center"/>
    </xf>
    <xf numFmtId="4" fontId="4" fillId="2" borderId="7" xfId="1" applyNumberFormat="1" applyFont="1" applyFill="1" applyBorder="1" applyAlignment="1">
      <alignment horizontal="center"/>
    </xf>
    <xf numFmtId="4" fontId="4" fillId="2" borderId="6" xfId="1" applyNumberFormat="1" applyFont="1" applyFill="1" applyBorder="1" applyAlignment="1">
      <alignment horizontal="center"/>
    </xf>
    <xf numFmtId="4" fontId="4" fillId="0" borderId="9" xfId="1" applyNumberFormat="1" applyFont="1" applyBorder="1" applyAlignment="1">
      <alignment horizontal="left" wrapText="1"/>
    </xf>
    <xf numFmtId="4" fontId="4" fillId="0" borderId="9" xfId="1" applyNumberFormat="1" applyFont="1" applyBorder="1" applyAlignment="1">
      <alignment horizontal="justify" vertical="top" wrapText="1"/>
    </xf>
    <xf numFmtId="4" fontId="10" fillId="0" borderId="9" xfId="1" applyNumberFormat="1" applyFont="1" applyBorder="1" applyAlignment="1">
      <alignment horizontal="justify" vertical="top" wrapText="1"/>
    </xf>
    <xf numFmtId="4" fontId="4" fillId="0" borderId="13" xfId="1" applyNumberFormat="1" applyFont="1" applyFill="1" applyBorder="1" applyAlignment="1">
      <alignment horizontal="left" vertical="top" wrapText="1"/>
    </xf>
    <xf numFmtId="4" fontId="4" fillId="0" borderId="13" xfId="1" applyNumberFormat="1" applyFont="1" applyFill="1" applyBorder="1" applyAlignment="1">
      <alignment horizontal="right" vertical="top" wrapText="1"/>
    </xf>
    <xf numFmtId="4" fontId="4" fillId="2" borderId="3" xfId="1" applyNumberFormat="1" applyFont="1" applyFill="1" applyBorder="1" applyAlignment="1"/>
    <xf numFmtId="4" fontId="4" fillId="2" borderId="9" xfId="1" applyNumberFormat="1" applyFont="1" applyFill="1" applyBorder="1" applyAlignment="1"/>
    <xf numFmtId="4" fontId="4" fillId="0" borderId="10" xfId="1" applyNumberFormat="1" applyFont="1" applyBorder="1" applyAlignment="1">
      <alignment horizontal="left" vertical="top" wrapText="1"/>
    </xf>
    <xf numFmtId="4" fontId="8" fillId="0" borderId="15" xfId="4" applyNumberFormat="1" applyFont="1" applyFill="1" applyBorder="1" applyAlignment="1">
      <alignment horizontal="right"/>
    </xf>
    <xf numFmtId="4" fontId="4" fillId="0" borderId="3" xfId="1" applyNumberFormat="1" applyFont="1" applyFill="1" applyBorder="1" applyAlignment="1">
      <alignment horizontal="left" vertical="top" wrapText="1"/>
    </xf>
    <xf numFmtId="4" fontId="8" fillId="0" borderId="12" xfId="4" applyNumberFormat="1" applyFont="1" applyFill="1" applyBorder="1" applyAlignment="1">
      <alignment horizontal="right"/>
    </xf>
    <xf numFmtId="4" fontId="9" fillId="0" borderId="0" xfId="1" applyNumberFormat="1" applyFont="1" applyFill="1" applyBorder="1" applyAlignment="1"/>
    <xf numFmtId="4" fontId="4" fillId="0" borderId="5" xfId="1" applyNumberFormat="1" applyFont="1" applyFill="1" applyBorder="1" applyAlignment="1">
      <alignment horizontal="left" vertical="top" wrapText="1"/>
    </xf>
    <xf numFmtId="4" fontId="4" fillId="0" borderId="2" xfId="4" applyNumberFormat="1" applyFont="1" applyFill="1" applyBorder="1" applyAlignment="1">
      <alignment horizontal="right" wrapText="1"/>
    </xf>
    <xf numFmtId="4" fontId="4" fillId="0" borderId="6" xfId="4" applyNumberFormat="1" applyFont="1" applyFill="1" applyBorder="1" applyAlignment="1">
      <alignment horizontal="right" wrapText="1"/>
    </xf>
    <xf numFmtId="4" fontId="4" fillId="0" borderId="0" xfId="1" applyNumberFormat="1" applyFont="1" applyFill="1" applyBorder="1" applyAlignment="1">
      <alignment horizontal="left" vertical="top" wrapText="1"/>
    </xf>
    <xf numFmtId="4" fontId="4" fillId="0" borderId="0" xfId="2" applyNumberFormat="1" applyFont="1" applyFill="1" applyBorder="1" applyAlignment="1"/>
    <xf numFmtId="4" fontId="4" fillId="0" borderId="2" xfId="1" applyNumberFormat="1" applyFont="1" applyFill="1" applyBorder="1" applyAlignment="1">
      <alignment horizontal="left" vertical="top" wrapText="1"/>
    </xf>
    <xf numFmtId="4" fontId="4" fillId="2" borderId="10" xfId="2" applyNumberFormat="1" applyFont="1" applyFill="1" applyBorder="1" applyAlignment="1">
      <alignment horizontal="center" wrapText="1"/>
    </xf>
    <xf numFmtId="4" fontId="4" fillId="2" borderId="9" xfId="1" applyNumberFormat="1" applyFont="1" applyFill="1" applyBorder="1" applyAlignment="1">
      <alignment horizontal="center"/>
    </xf>
    <xf numFmtId="4" fontId="4" fillId="2" borderId="15" xfId="1" applyNumberFormat="1" applyFont="1" applyFill="1" applyBorder="1" applyAlignment="1">
      <alignment horizontal="center"/>
    </xf>
    <xf numFmtId="4" fontId="4" fillId="2" borderId="9" xfId="2" applyNumberFormat="1" applyFont="1" applyFill="1" applyBorder="1" applyAlignment="1">
      <alignment horizontal="center"/>
    </xf>
    <xf numFmtId="4" fontId="4" fillId="2" borderId="2" xfId="1" applyNumberFormat="1" applyFont="1" applyFill="1" applyBorder="1" applyAlignment="1">
      <alignment horizontal="center"/>
    </xf>
    <xf numFmtId="4" fontId="4" fillId="2" borderId="7" xfId="2" applyNumberFormat="1" applyFont="1" applyFill="1" applyBorder="1" applyAlignment="1">
      <alignment horizontal="center"/>
    </xf>
    <xf numFmtId="4" fontId="4" fillId="0" borderId="12" xfId="1" applyNumberFormat="1" applyFont="1" applyBorder="1" applyAlignment="1">
      <alignment horizontal="left" vertical="top" wrapText="1"/>
    </xf>
    <xf numFmtId="4" fontId="4" fillId="0" borderId="1" xfId="1" applyNumberFormat="1" applyFont="1" applyBorder="1" applyAlignment="1">
      <alignment horizontal="left" vertical="top" wrapText="1"/>
    </xf>
    <xf numFmtId="4" fontId="4" fillId="0" borderId="6" xfId="1" applyNumberFormat="1" applyFont="1" applyBorder="1" applyAlignment="1">
      <alignment horizontal="left" vertical="top" wrapText="1"/>
    </xf>
    <xf numFmtId="4" fontId="4" fillId="0" borderId="15" xfId="1" applyNumberFormat="1" applyFont="1" applyBorder="1" applyAlignment="1">
      <alignment horizontal="right" vertical="top" wrapText="1"/>
    </xf>
    <xf numFmtId="4" fontId="4" fillId="0" borderId="15" xfId="1" applyNumberFormat="1" applyFont="1" applyFill="1" applyBorder="1" applyAlignment="1"/>
    <xf numFmtId="4" fontId="4" fillId="2" borderId="4" xfId="1" applyNumberFormat="1" applyFont="1" applyFill="1" applyBorder="1" applyAlignment="1">
      <alignment horizontal="center" vertical="center" wrapText="1"/>
    </xf>
    <xf numFmtId="4" fontId="4" fillId="2" borderId="8" xfId="1" applyNumberFormat="1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vertical="center"/>
    </xf>
    <xf numFmtId="4" fontId="4" fillId="0" borderId="14" xfId="1" applyNumberFormat="1" applyFont="1" applyBorder="1" applyAlignment="1">
      <alignment horizontal="left" vertical="top" wrapText="1"/>
    </xf>
    <xf numFmtId="4" fontId="4" fillId="0" borderId="0" xfId="1" applyNumberFormat="1" applyFont="1" applyFill="1" applyBorder="1" applyAlignment="1"/>
    <xf numFmtId="4" fontId="4" fillId="0" borderId="3" xfId="1" applyNumberFormat="1" applyFont="1" applyBorder="1" applyAlignment="1">
      <alignment vertical="top" wrapText="1"/>
    </xf>
    <xf numFmtId="4" fontId="4" fillId="0" borderId="3" xfId="1" applyNumberFormat="1" applyFont="1" applyBorder="1" applyAlignment="1">
      <alignment horizontal="left" vertical="top" wrapText="1"/>
    </xf>
    <xf numFmtId="4" fontId="4" fillId="0" borderId="5" xfId="1" applyNumberFormat="1" applyFont="1" applyBorder="1" applyAlignment="1">
      <alignment vertical="top" wrapText="1"/>
    </xf>
    <xf numFmtId="4" fontId="4" fillId="0" borderId="4" xfId="1" applyNumberFormat="1" applyFont="1" applyBorder="1" applyAlignment="1">
      <alignment vertical="top" wrapText="1"/>
    </xf>
    <xf numFmtId="4" fontId="4" fillId="0" borderId="13" xfId="1" applyNumberFormat="1" applyFont="1" applyBorder="1" applyAlignment="1">
      <alignment vertical="top" wrapText="1"/>
    </xf>
    <xf numFmtId="4" fontId="4" fillId="0" borderId="0" xfId="1" applyNumberFormat="1" applyFont="1" applyBorder="1" applyAlignment="1">
      <alignment vertical="top" wrapText="1"/>
    </xf>
    <xf numFmtId="4" fontId="8" fillId="0" borderId="0" xfId="1" applyNumberFormat="1" applyFont="1" applyBorder="1" applyAlignment="1">
      <alignment vertical="top" wrapText="1"/>
    </xf>
    <xf numFmtId="4" fontId="4" fillId="0" borderId="3" xfId="1" applyNumberFormat="1" applyFont="1" applyFill="1" applyBorder="1" applyAlignment="1">
      <alignment vertical="top"/>
    </xf>
    <xf numFmtId="4" fontId="4" fillId="0" borderId="3" xfId="1" applyNumberFormat="1" applyFont="1" applyBorder="1" applyAlignment="1">
      <alignment vertical="top"/>
    </xf>
    <xf numFmtId="4" fontId="4" fillId="0" borderId="0" xfId="1" applyNumberFormat="1" applyFont="1" applyFill="1" applyBorder="1" applyAlignment="1">
      <alignment vertical="center" wrapText="1"/>
    </xf>
    <xf numFmtId="4" fontId="4" fillId="0" borderId="0" xfId="1" applyNumberFormat="1" applyFont="1" applyFill="1" applyAlignment="1">
      <alignment horizontal="center" vertical="center"/>
    </xf>
    <xf numFmtId="4" fontId="4" fillId="0" borderId="3" xfId="1" applyNumberFormat="1" applyFont="1" applyBorder="1" applyAlignment="1">
      <alignment horizontal="left" vertical="center" wrapText="1"/>
    </xf>
    <xf numFmtId="4" fontId="4" fillId="0" borderId="5" xfId="1" applyNumberFormat="1" applyFont="1" applyBorder="1" applyAlignment="1">
      <alignment horizontal="left" vertical="center" wrapText="1"/>
    </xf>
    <xf numFmtId="4" fontId="4" fillId="0" borderId="7" xfId="1" applyNumberFormat="1" applyFont="1" applyBorder="1" applyAlignment="1">
      <alignment horizontal="left" vertical="top" wrapText="1"/>
    </xf>
    <xf numFmtId="4" fontId="4" fillId="0" borderId="0" xfId="1" applyNumberFormat="1" applyFont="1" applyBorder="1" applyAlignment="1">
      <alignment horizontal="left" vertical="top" wrapText="1"/>
    </xf>
    <xf numFmtId="4" fontId="4" fillId="0" borderId="3" xfId="1" applyNumberFormat="1" applyFont="1" applyBorder="1" applyAlignment="1">
      <alignment horizontal="left" wrapText="1"/>
    </xf>
    <xf numFmtId="4" fontId="4" fillId="0" borderId="5" xfId="1" applyNumberFormat="1" applyFont="1" applyBorder="1" applyAlignment="1">
      <alignment horizontal="left" vertical="top" wrapText="1"/>
    </xf>
    <xf numFmtId="4" fontId="4" fillId="0" borderId="4" xfId="1" applyNumberFormat="1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left" vertical="center"/>
    </xf>
    <xf numFmtId="4" fontId="4" fillId="0" borderId="0" xfId="1" applyNumberFormat="1" applyFont="1" applyFill="1" applyAlignment="1">
      <alignment horizontal="left" vertical="center"/>
    </xf>
    <xf numFmtId="4" fontId="4" fillId="0" borderId="15" xfId="1" applyNumberFormat="1" applyFont="1" applyBorder="1" applyAlignment="1">
      <alignment horizontal="left" vertical="center" wrapText="1"/>
    </xf>
    <xf numFmtId="4" fontId="4" fillId="0" borderId="15" xfId="1" applyNumberFormat="1" applyFont="1" applyFill="1" applyBorder="1" applyAlignment="1">
      <alignment horizontal="left" vertical="center" wrapText="1"/>
    </xf>
    <xf numFmtId="4" fontId="4" fillId="2" borderId="10" xfId="1" applyNumberFormat="1" applyFont="1" applyFill="1" applyBorder="1" applyAlignment="1">
      <alignment horizontal="center" vertical="center" wrapText="1"/>
    </xf>
    <xf numFmtId="4" fontId="4" fillId="2" borderId="9" xfId="1" applyNumberFormat="1" applyFont="1" applyFill="1" applyBorder="1" applyAlignment="1">
      <alignment horizontal="center" vertical="center" wrapText="1"/>
    </xf>
    <xf numFmtId="4" fontId="4" fillId="2" borderId="7" xfId="1" applyNumberFormat="1" applyFont="1" applyFill="1" applyBorder="1" applyAlignment="1">
      <alignment horizontal="center" vertical="center" wrapText="1"/>
    </xf>
    <xf numFmtId="4" fontId="4" fillId="0" borderId="7" xfId="1" applyNumberFormat="1" applyFont="1" applyBorder="1" applyAlignment="1">
      <alignment horizontal="left" wrapText="1"/>
    </xf>
    <xf numFmtId="4" fontId="4" fillId="0" borderId="15" xfId="1" applyNumberFormat="1" applyFont="1" applyBorder="1" applyAlignment="1">
      <alignment horizontal="left" wrapText="1"/>
    </xf>
    <xf numFmtId="4" fontId="4" fillId="2" borderId="14" xfId="1" applyNumberFormat="1" applyFont="1" applyFill="1" applyBorder="1" applyAlignment="1">
      <alignment horizontal="center" vertical="center" wrapText="1"/>
    </xf>
    <xf numFmtId="4" fontId="4" fillId="0" borderId="14" xfId="1" applyNumberFormat="1" applyFont="1" applyFill="1" applyBorder="1" applyAlignment="1">
      <alignment horizontal="left" vertical="center"/>
    </xf>
    <xf numFmtId="4" fontId="4" fillId="0" borderId="3" xfId="1" applyNumberFormat="1" applyFont="1" applyFill="1" applyBorder="1" applyAlignment="1">
      <alignment horizontal="left" vertical="center"/>
    </xf>
    <xf numFmtId="4" fontId="4" fillId="0" borderId="5" xfId="1" applyNumberFormat="1" applyFont="1" applyFill="1" applyBorder="1" applyAlignment="1">
      <alignment horizontal="left" vertical="center"/>
    </xf>
    <xf numFmtId="4" fontId="4" fillId="0" borderId="0" xfId="1" applyNumberFormat="1" applyFont="1" applyFill="1" applyBorder="1" applyAlignment="1">
      <alignment horizontal="center"/>
    </xf>
    <xf numFmtId="4" fontId="4" fillId="2" borderId="14" xfId="1" applyNumberFormat="1" applyFont="1" applyFill="1" applyBorder="1" applyAlignment="1">
      <alignment horizontal="center" vertical="center"/>
    </xf>
    <xf numFmtId="4" fontId="4" fillId="2" borderId="10" xfId="1" applyNumberFormat="1" applyFont="1" applyFill="1" applyBorder="1" applyAlignment="1">
      <alignment horizontal="center" vertical="center"/>
    </xf>
    <xf numFmtId="4" fontId="4" fillId="2" borderId="5" xfId="1" applyNumberFormat="1" applyFont="1" applyFill="1" applyBorder="1" applyAlignment="1">
      <alignment horizontal="center" vertical="center"/>
    </xf>
    <xf numFmtId="4" fontId="14" fillId="0" borderId="0" xfId="1" applyNumberFormat="1" applyFont="1" applyFill="1" applyBorder="1" applyAlignment="1"/>
    <xf numFmtId="4" fontId="14" fillId="0" borderId="0" xfId="1" applyNumberFormat="1" applyFont="1" applyFill="1" applyAlignment="1"/>
    <xf numFmtId="4" fontId="4" fillId="0" borderId="0" xfId="1" applyNumberFormat="1" applyFont="1" applyAlignment="1"/>
    <xf numFmtId="4" fontId="8" fillId="0" borderId="0" xfId="1" applyNumberFormat="1" applyFont="1" applyFill="1" applyBorder="1" applyAlignment="1"/>
    <xf numFmtId="4" fontId="8" fillId="0" borderId="0" xfId="1" applyNumberFormat="1" applyFont="1" applyFill="1" applyBorder="1" applyAlignment="1">
      <alignment horizontal="left" vertical="center"/>
    </xf>
    <xf numFmtId="49" fontId="31" fillId="0" borderId="2" xfId="4" applyNumberFormat="1" applyFont="1" applyFill="1" applyBorder="1" applyAlignment="1">
      <alignment horizontal="right" wrapText="1"/>
    </xf>
    <xf numFmtId="4" fontId="4" fillId="0" borderId="2" xfId="4" applyNumberFormat="1" applyFont="1" applyFill="1" applyBorder="1" applyAlignment="1">
      <alignment horizontal="left" wrapText="1"/>
    </xf>
    <xf numFmtId="4" fontId="14" fillId="0" borderId="0" xfId="1" applyNumberFormat="1" applyFont="1" applyFill="1" applyAlignment="1">
      <alignment horizontal="left"/>
    </xf>
    <xf numFmtId="4" fontId="4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left" vertical="center"/>
    </xf>
    <xf numFmtId="43" fontId="2" fillId="0" borderId="10" xfId="4" applyFont="1" applyFill="1" applyBorder="1" applyAlignment="1"/>
    <xf numFmtId="43" fontId="2" fillId="2" borderId="4" xfId="4" applyFont="1" applyFill="1" applyBorder="1" applyAlignment="1"/>
    <xf numFmtId="43" fontId="2" fillId="2" borderId="8" xfId="4" applyFont="1" applyFill="1" applyBorder="1" applyAlignment="1"/>
    <xf numFmtId="43" fontId="2" fillId="0" borderId="4" xfId="4" applyFont="1" applyFill="1" applyBorder="1" applyAlignment="1"/>
    <xf numFmtId="43" fontId="2" fillId="0" borderId="0" xfId="4" applyFont="1" applyFill="1" applyAlignment="1">
      <alignment horizontal="right"/>
    </xf>
    <xf numFmtId="43" fontId="2" fillId="0" borderId="6" xfId="4" applyFont="1" applyFill="1" applyBorder="1" applyAlignment="1">
      <alignment horizontal="right"/>
    </xf>
    <xf numFmtId="43" fontId="2" fillId="4" borderId="4" xfId="4" applyFont="1" applyFill="1" applyBorder="1" applyAlignment="1">
      <alignment horizontal="right"/>
    </xf>
    <xf numFmtId="43" fontId="2" fillId="4" borderId="8" xfId="4" applyFont="1" applyFill="1" applyBorder="1" applyAlignment="1">
      <alignment horizontal="right"/>
    </xf>
    <xf numFmtId="43" fontId="2" fillId="2" borderId="5" xfId="4" applyFont="1" applyFill="1" applyBorder="1" applyAlignment="1">
      <alignment horizontal="right"/>
    </xf>
    <xf numFmtId="43" fontId="2" fillId="2" borderId="7" xfId="4" applyFont="1" applyFill="1" applyBorder="1" applyAlignment="1">
      <alignment horizontal="right"/>
    </xf>
    <xf numFmtId="43" fontId="2" fillId="0" borderId="15" xfId="4" applyFont="1" applyFill="1" applyBorder="1" applyAlignment="1">
      <alignment horizontal="right"/>
    </xf>
    <xf numFmtId="43" fontId="2" fillId="0" borderId="2" xfId="4" applyFont="1" applyFill="1" applyBorder="1" applyAlignment="1">
      <alignment horizontal="right"/>
    </xf>
    <xf numFmtId="43" fontId="2" fillId="2" borderId="8" xfId="4" applyFont="1" applyFill="1" applyBorder="1" applyAlignment="1">
      <alignment horizontal="right"/>
    </xf>
    <xf numFmtId="43" fontId="2" fillId="2" borderId="4" xfId="4" applyFont="1" applyFill="1" applyBorder="1" applyAlignment="1">
      <alignment horizontal="right"/>
    </xf>
    <xf numFmtId="43" fontId="2" fillId="2" borderId="13" xfId="4" applyFont="1" applyFill="1" applyBorder="1" applyAlignment="1">
      <alignment horizontal="right"/>
    </xf>
    <xf numFmtId="49" fontId="4" fillId="0" borderId="1" xfId="1" applyNumberFormat="1" applyFont="1" applyFill="1" applyBorder="1" applyAlignment="1"/>
    <xf numFmtId="49" fontId="4" fillId="0" borderId="1" xfId="1" applyNumberFormat="1" applyFont="1" applyFill="1" applyBorder="1" applyAlignment="1">
      <alignment wrapText="1"/>
    </xf>
    <xf numFmtId="49" fontId="4" fillId="0" borderId="4" xfId="1" applyNumberFormat="1" applyFont="1" applyFill="1" applyBorder="1" applyAlignment="1">
      <alignment wrapText="1"/>
    </xf>
    <xf numFmtId="0" fontId="4" fillId="0" borderId="7" xfId="1" applyFont="1" applyFill="1" applyBorder="1" applyAlignment="1">
      <alignment vertical="center" wrapText="1"/>
    </xf>
    <xf numFmtId="49" fontId="4" fillId="0" borderId="3" xfId="1" applyNumberFormat="1" applyFont="1" applyFill="1" applyBorder="1" applyAlignment="1">
      <alignment wrapText="1"/>
    </xf>
    <xf numFmtId="49" fontId="4" fillId="0" borderId="9" xfId="1" applyNumberFormat="1" applyFont="1" applyFill="1" applyBorder="1" applyAlignment="1"/>
    <xf numFmtId="0" fontId="4" fillId="0" borderId="10" xfId="1" applyFont="1" applyFill="1" applyBorder="1" applyAlignment="1">
      <alignment wrapText="1"/>
    </xf>
    <xf numFmtId="0" fontId="12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wrapText="1"/>
    </xf>
    <xf numFmtId="43" fontId="2" fillId="0" borderId="8" xfId="4" applyFont="1" applyBorder="1" applyAlignment="1">
      <alignment horizontal="right"/>
    </xf>
    <xf numFmtId="0" fontId="12" fillId="2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43" fontId="2" fillId="0" borderId="0" xfId="0" applyNumberFormat="1" applyFont="1" applyFill="1"/>
    <xf numFmtId="43" fontId="2" fillId="0" borderId="1" xfId="0" applyNumberFormat="1" applyFont="1" applyFill="1" applyBorder="1" applyAlignment="1">
      <alignment horizontal="justify" vertical="top" wrapText="1"/>
    </xf>
    <xf numFmtId="43" fontId="2" fillId="0" borderId="6" xfId="0" applyNumberFormat="1" applyFont="1" applyFill="1" applyBorder="1" applyAlignment="1">
      <alignment horizontal="justify" vertical="top" wrapText="1"/>
    </xf>
    <xf numFmtId="43" fontId="2" fillId="0" borderId="14" xfId="0" applyNumberFormat="1" applyFont="1" applyFill="1" applyBorder="1" applyAlignment="1">
      <alignment horizontal="left" vertical="top"/>
    </xf>
    <xf numFmtId="43" fontId="2" fillId="0" borderId="10" xfId="0" applyNumberFormat="1" applyFont="1" applyFill="1" applyBorder="1" applyAlignment="1">
      <alignment horizontal="left" vertical="top"/>
    </xf>
    <xf numFmtId="43" fontId="2" fillId="0" borderId="15" xfId="0" applyNumberFormat="1" applyFont="1" applyFill="1" applyBorder="1" applyAlignment="1">
      <alignment horizontal="left" vertical="top"/>
    </xf>
    <xf numFmtId="43" fontId="2" fillId="0" borderId="3" xfId="0" applyNumberFormat="1" applyFont="1" applyFill="1" applyBorder="1" applyAlignment="1">
      <alignment horizontal="left" vertical="top"/>
    </xf>
    <xf numFmtId="43" fontId="2" fillId="0" borderId="9" xfId="0" applyNumberFormat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top"/>
    </xf>
    <xf numFmtId="43" fontId="2" fillId="0" borderId="5" xfId="0" applyNumberFormat="1" applyFont="1" applyFill="1" applyBorder="1" applyAlignment="1">
      <alignment horizontal="left" vertical="top"/>
    </xf>
    <xf numFmtId="43" fontId="2" fillId="0" borderId="7" xfId="0" applyNumberFormat="1" applyFont="1" applyFill="1" applyBorder="1" applyAlignment="1">
      <alignment horizontal="left" vertical="top"/>
    </xf>
    <xf numFmtId="43" fontId="2" fillId="0" borderId="2" xfId="0" applyNumberFormat="1" applyFont="1" applyFill="1" applyBorder="1" applyAlignment="1">
      <alignment horizontal="left" vertical="top"/>
    </xf>
    <xf numFmtId="0" fontId="4" fillId="0" borderId="9" xfId="1" applyFont="1" applyFill="1" applyBorder="1" applyAlignment="1">
      <alignment wrapText="1"/>
    </xf>
    <xf numFmtId="49" fontId="4" fillId="0" borderId="9" xfId="1" applyNumberFormat="1" applyFont="1" applyFill="1" applyBorder="1" applyAlignment="1">
      <alignment wrapText="1"/>
    </xf>
    <xf numFmtId="0" fontId="4" fillId="3" borderId="3" xfId="1" applyFont="1" applyFill="1" applyBorder="1"/>
    <xf numFmtId="0" fontId="4" fillId="3" borderId="3" xfId="1" applyFont="1" applyFill="1" applyBorder="1" applyAlignment="1">
      <alignment wrapText="1"/>
    </xf>
    <xf numFmtId="0" fontId="4" fillId="0" borderId="3" xfId="1" applyFont="1" applyFill="1" applyBorder="1"/>
    <xf numFmtId="49" fontId="4" fillId="3" borderId="9" xfId="1" applyNumberFormat="1" applyFont="1" applyFill="1" applyBorder="1" applyAlignment="1"/>
    <xf numFmtId="0" fontId="4" fillId="3" borderId="9" xfId="1" applyFont="1" applyFill="1" applyBorder="1" applyAlignment="1">
      <alignment horizontal="justify" vertical="top" wrapText="1"/>
    </xf>
    <xf numFmtId="0" fontId="10" fillId="0" borderId="9" xfId="1" applyFont="1" applyFill="1" applyBorder="1" applyAlignment="1">
      <alignment horizontal="justify" vertical="top" wrapText="1"/>
    </xf>
    <xf numFmtId="0" fontId="4" fillId="3" borderId="6" xfId="1" applyFont="1" applyFill="1" applyBorder="1" applyAlignment="1">
      <alignment horizontal="justify" vertical="top" wrapText="1"/>
    </xf>
    <xf numFmtId="0" fontId="10" fillId="0" borderId="9" xfId="1" applyFont="1" applyFill="1" applyBorder="1" applyAlignment="1">
      <alignment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/>
    </xf>
    <xf numFmtId="43" fontId="2" fillId="2" borderId="14" xfId="4" applyFont="1" applyFill="1" applyBorder="1" applyAlignment="1">
      <alignment horizontal="right"/>
    </xf>
    <xf numFmtId="43" fontId="2" fillId="2" borderId="10" xfId="4" applyFont="1" applyFill="1" applyBorder="1" applyAlignment="1">
      <alignment horizontal="right"/>
    </xf>
    <xf numFmtId="43" fontId="2" fillId="2" borderId="15" xfId="4" applyFont="1" applyFill="1" applyBorder="1" applyAlignment="1">
      <alignment horizontal="right"/>
    </xf>
    <xf numFmtId="43" fontId="2" fillId="2" borderId="0" xfId="4" applyFont="1" applyFill="1" applyBorder="1" applyAlignment="1">
      <alignment horizontal="right"/>
    </xf>
    <xf numFmtId="43" fontId="4" fillId="0" borderId="0" xfId="4" applyFont="1" applyFill="1" applyBorder="1" applyAlignment="1">
      <alignment horizontal="right"/>
    </xf>
    <xf numFmtId="0" fontId="4" fillId="0" borderId="3" xfId="1" applyNumberFormat="1" applyFont="1" applyFill="1" applyBorder="1" applyAlignment="1"/>
    <xf numFmtId="0" fontId="4" fillId="0" borderId="3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/>
    <xf numFmtId="0" fontId="4" fillId="0" borderId="3" xfId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 wrapText="1"/>
    </xf>
    <xf numFmtId="0" fontId="9" fillId="2" borderId="4" xfId="1" applyNumberFormat="1" applyFont="1" applyFill="1" applyBorder="1" applyAlignment="1"/>
    <xf numFmtId="0" fontId="9" fillId="2" borderId="4" xfId="1" applyNumberFormat="1" applyFont="1" applyFill="1" applyBorder="1" applyAlignment="1">
      <alignment wrapText="1"/>
    </xf>
    <xf numFmtId="0" fontId="12" fillId="2" borderId="4" xfId="1" applyNumberFormat="1" applyFont="1" applyFill="1" applyBorder="1" applyAlignment="1">
      <alignment horizontal="center" vertical="center" wrapText="1"/>
    </xf>
    <xf numFmtId="0" fontId="4" fillId="0" borderId="8" xfId="1" applyNumberFormat="1" applyFont="1" applyFill="1" applyBorder="1" applyAlignment="1">
      <alignment horizontal="left" wrapText="1"/>
    </xf>
    <xf numFmtId="0" fontId="4" fillId="2" borderId="10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0" borderId="3" xfId="1" applyFont="1" applyFill="1" applyBorder="1" applyAlignment="1"/>
    <xf numFmtId="0" fontId="4" fillId="0" borderId="15" xfId="1" applyNumberFormat="1" applyFont="1" applyFill="1" applyBorder="1" applyAlignment="1"/>
    <xf numFmtId="0" fontId="4" fillId="0" borderId="0" xfId="1" applyNumberFormat="1" applyFont="1" applyFill="1" applyBorder="1" applyAlignment="1"/>
    <xf numFmtId="0" fontId="9" fillId="2" borderId="8" xfId="1" applyFont="1" applyFill="1" applyBorder="1" applyAlignment="1">
      <alignment vertical="center"/>
    </xf>
    <xf numFmtId="0" fontId="9" fillId="0" borderId="14" xfId="1" applyFont="1" applyFill="1" applyBorder="1" applyAlignment="1">
      <alignment vertical="center"/>
    </xf>
    <xf numFmtId="0" fontId="4" fillId="2" borderId="14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0" borderId="10" xfId="1" applyFont="1" applyFill="1" applyBorder="1" applyAlignment="1"/>
    <xf numFmtId="0" fontId="4" fillId="0" borderId="0" xfId="1" applyFont="1" applyFill="1" applyBorder="1" applyAlignment="1">
      <alignment horizontal="right" vertical="center"/>
    </xf>
    <xf numFmtId="0" fontId="4" fillId="0" borderId="9" xfId="1" applyFont="1" applyFill="1" applyBorder="1" applyAlignment="1"/>
    <xf numFmtId="0" fontId="9" fillId="2" borderId="8" xfId="1" applyFont="1" applyFill="1" applyBorder="1" applyAlignment="1">
      <alignment vertical="center" wrapText="1"/>
    </xf>
    <xf numFmtId="0" fontId="2" fillId="0" borderId="15" xfId="1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4" fillId="2" borderId="10" xfId="0" applyNumberFormat="1" applyFont="1" applyFill="1" applyBorder="1" applyAlignment="1">
      <alignment vertical="center"/>
    </xf>
    <xf numFmtId="0" fontId="12" fillId="2" borderId="9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vertical="center"/>
    </xf>
    <xf numFmtId="37" fontId="9" fillId="2" borderId="4" xfId="0" applyNumberFormat="1" applyFont="1" applyFill="1" applyBorder="1"/>
    <xf numFmtId="0" fontId="4" fillId="2" borderId="10" xfId="0" applyNumberFormat="1" applyFont="1" applyFill="1" applyBorder="1" applyAlignment="1">
      <alignment horizontal="center" vertical="center"/>
    </xf>
    <xf numFmtId="0" fontId="4" fillId="2" borderId="9" xfId="0" applyNumberFormat="1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37" fontId="4" fillId="2" borderId="4" xfId="0" applyNumberFormat="1" applyFont="1" applyFill="1" applyBorder="1" applyAlignment="1">
      <alignment vertical="center"/>
    </xf>
    <xf numFmtId="37" fontId="4" fillId="5" borderId="4" xfId="0" applyNumberFormat="1" applyFont="1" applyFill="1" applyBorder="1" applyAlignment="1">
      <alignment horizontal="center" vertical="center"/>
    </xf>
    <xf numFmtId="37" fontId="4" fillId="5" borderId="8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12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4" fillId="0" borderId="4" xfId="0" applyNumberFormat="1" applyFont="1" applyFill="1" applyBorder="1" applyAlignment="1"/>
    <xf numFmtId="0" fontId="4" fillId="0" borderId="0" xfId="1" applyNumberFormat="1" applyFont="1" applyFill="1" applyBorder="1" applyAlignment="1">
      <alignment horizontal="left" wrapText="1"/>
    </xf>
    <xf numFmtId="0" fontId="9" fillId="0" borderId="0" xfId="1" applyFont="1" applyFill="1" applyBorder="1" applyAlignment="1">
      <alignment horizontal="center" vertical="center"/>
    </xf>
    <xf numFmtId="0" fontId="12" fillId="2" borderId="9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>
      <alignment wrapText="1"/>
    </xf>
    <xf numFmtId="49" fontId="4" fillId="0" borderId="0" xfId="1" applyNumberFormat="1" applyFont="1" applyFill="1" applyBorder="1" applyAlignment="1">
      <alignment vertical="center" wrapText="1"/>
    </xf>
    <xf numFmtId="0" fontId="4" fillId="0" borderId="9" xfId="1" applyNumberFormat="1" applyFont="1" applyFill="1" applyBorder="1" applyAlignment="1"/>
    <xf numFmtId="0" fontId="4" fillId="2" borderId="14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0" fontId="23" fillId="0" borderId="0" xfId="1" applyFont="1" applyFill="1" applyBorder="1" applyAlignment="1">
      <alignment vertical="center"/>
    </xf>
    <xf numFmtId="0" fontId="4" fillId="0" borderId="14" xfId="1" applyFont="1" applyFill="1" applyBorder="1" applyAlignment="1"/>
    <xf numFmtId="0" fontId="4" fillId="0" borderId="5" xfId="1" applyFont="1" applyFill="1" applyBorder="1" applyAlignment="1"/>
    <xf numFmtId="0" fontId="9" fillId="2" borderId="13" xfId="0" applyNumberFormat="1" applyFont="1" applyFill="1" applyBorder="1" applyAlignment="1">
      <alignment horizontal="left" vertical="center" wrapText="1"/>
    </xf>
    <xf numFmtId="0" fontId="9" fillId="2" borderId="11" xfId="0" applyNumberFormat="1" applyFont="1" applyFill="1" applyBorder="1" applyAlignment="1"/>
    <xf numFmtId="43" fontId="2" fillId="0" borderId="0" xfId="4" applyFont="1" applyFill="1" applyBorder="1" applyAlignment="1">
      <alignment wrapText="1"/>
    </xf>
    <xf numFmtId="0" fontId="4" fillId="2" borderId="8" xfId="1" applyFont="1" applyFill="1" applyBorder="1" applyAlignment="1">
      <alignment horizontal="center" vertical="center"/>
    </xf>
    <xf numFmtId="37" fontId="4" fillId="0" borderId="0" xfId="1" applyNumberFormat="1" applyFont="1" applyFill="1" applyBorder="1" applyAlignment="1">
      <alignment vertical="center"/>
    </xf>
    <xf numFmtId="3" fontId="4" fillId="0" borderId="0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9" fillId="0" borderId="0" xfId="1" applyNumberFormat="1" applyFont="1" applyFill="1" applyBorder="1" applyAlignment="1"/>
    <xf numFmtId="0" fontId="4" fillId="0" borderId="0" xfId="1" applyFont="1" applyFill="1" applyBorder="1" applyAlignment="1">
      <alignment wrapText="1"/>
    </xf>
    <xf numFmtId="0" fontId="9" fillId="0" borderId="3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9" fillId="2" borderId="8" xfId="0" applyNumberFormat="1" applyFont="1" applyFill="1" applyBorder="1" applyAlignment="1"/>
    <xf numFmtId="0" fontId="9" fillId="2" borderId="4" xfId="0" applyNumberFormat="1" applyFont="1" applyFill="1" applyBorder="1" applyAlignment="1"/>
    <xf numFmtId="0" fontId="9" fillId="0" borderId="15" xfId="0" applyNumberFormat="1" applyFont="1" applyFill="1" applyBorder="1" applyAlignment="1"/>
    <xf numFmtId="0" fontId="4" fillId="0" borderId="15" xfId="0" applyFont="1" applyFill="1" applyBorder="1" applyAlignment="1">
      <alignment vertical="center"/>
    </xf>
    <xf numFmtId="0" fontId="9" fillId="0" borderId="0" xfId="0" applyNumberFormat="1" applyFont="1" applyFill="1" applyBorder="1" applyAlignment="1"/>
    <xf numFmtId="0" fontId="4" fillId="0" borderId="4" xfId="0" applyNumberFormat="1" applyFont="1" applyFill="1" applyBorder="1" applyAlignment="1">
      <alignment wrapText="1"/>
    </xf>
    <xf numFmtId="3" fontId="12" fillId="0" borderId="0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3" fontId="12" fillId="2" borderId="14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/>
    <xf numFmtId="0" fontId="12" fillId="2" borderId="14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4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3" xfId="1" applyNumberFormat="1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37" fontId="9" fillId="2" borderId="8" xfId="0" applyNumberFormat="1" applyFont="1" applyFill="1" applyBorder="1"/>
    <xf numFmtId="37" fontId="9" fillId="2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justify" vertical="top" wrapText="1"/>
    </xf>
    <xf numFmtId="0" fontId="2" fillId="0" borderId="9" xfId="0" applyFont="1" applyFill="1" applyBorder="1" applyAlignment="1">
      <alignment horizontal="justify" vertical="top" wrapText="1"/>
    </xf>
    <xf numFmtId="0" fontId="2" fillId="0" borderId="7" xfId="0" applyFont="1" applyFill="1" applyBorder="1" applyAlignment="1">
      <alignment horizontal="justify" vertical="top" wrapText="1"/>
    </xf>
    <xf numFmtId="164" fontId="1" fillId="0" borderId="3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wrapText="1"/>
    </xf>
    <xf numFmtId="43" fontId="2" fillId="4" borderId="4" xfId="4" applyFont="1" applyFill="1" applyBorder="1" applyAlignment="1"/>
    <xf numFmtId="43" fontId="2" fillId="4" borderId="8" xfId="4" applyFont="1" applyFill="1" applyBorder="1" applyAlignment="1"/>
    <xf numFmtId="43" fontId="2" fillId="0" borderId="10" xfId="4" applyFont="1" applyBorder="1" applyAlignment="1">
      <alignment horizontal="right"/>
    </xf>
    <xf numFmtId="43" fontId="2" fillId="0" borderId="7" xfId="4" applyFont="1" applyBorder="1" applyAlignment="1">
      <alignment horizontal="right"/>
    </xf>
    <xf numFmtId="43" fontId="2" fillId="0" borderId="5" xfId="4" applyFont="1" applyBorder="1" applyAlignment="1">
      <alignment horizontal="right"/>
    </xf>
    <xf numFmtId="43" fontId="2" fillId="0" borderId="3" xfId="4" applyFont="1" applyFill="1" applyBorder="1" applyAlignment="1">
      <alignment horizontal="center"/>
    </xf>
    <xf numFmtId="43" fontId="2" fillId="0" borderId="9" xfId="4" applyFont="1" applyFill="1" applyBorder="1" applyAlignment="1"/>
    <xf numFmtId="43" fontId="2" fillId="0" borderId="3" xfId="4" applyFont="1" applyFill="1" applyBorder="1" applyAlignment="1"/>
    <xf numFmtId="43" fontId="2" fillId="0" borderId="9" xfId="4" applyFont="1" applyFill="1" applyBorder="1" applyAlignment="1">
      <alignment horizontal="right" vertical="top"/>
    </xf>
    <xf numFmtId="43" fontId="2" fillId="0" borderId="3" xfId="4" applyFont="1" applyFill="1" applyBorder="1" applyAlignment="1">
      <alignment horizontal="right" vertical="top"/>
    </xf>
    <xf numFmtId="43" fontId="2" fillId="0" borderId="0" xfId="4" applyFont="1" applyFill="1" applyAlignment="1">
      <alignment horizontal="right" vertical="top"/>
    </xf>
    <xf numFmtId="43" fontId="2" fillId="0" borderId="8" xfId="4" applyFont="1" applyFill="1" applyBorder="1" applyAlignment="1"/>
    <xf numFmtId="43" fontId="2" fillId="0" borderId="14" xfId="4" applyFont="1" applyFill="1" applyBorder="1" applyAlignment="1"/>
    <xf numFmtId="43" fontId="2" fillId="0" borderId="5" xfId="4" applyFont="1" applyFill="1" applyBorder="1" applyAlignment="1"/>
    <xf numFmtId="43" fontId="2" fillId="0" borderId="7" xfId="4" applyFont="1" applyFill="1" applyBorder="1" applyAlignment="1"/>
    <xf numFmtId="43" fontId="2" fillId="0" borderId="9" xfId="4" applyFont="1" applyFill="1" applyBorder="1" applyAlignment="1">
      <alignment horizontal="center" vertical="center"/>
    </xf>
    <xf numFmtId="43" fontId="2" fillId="2" borderId="8" xfId="4" applyFont="1" applyFill="1" applyBorder="1" applyAlignment="1">
      <alignment vertical="center"/>
    </xf>
    <xf numFmtId="43" fontId="2" fillId="0" borderId="0" xfId="4" applyFont="1" applyFill="1" applyBorder="1" applyAlignment="1">
      <alignment horizontal="center" vertical="center"/>
    </xf>
    <xf numFmtId="43" fontId="2" fillId="2" borderId="8" xfId="4" applyFont="1" applyFill="1" applyBorder="1" applyAlignment="1">
      <alignment horizontal="center" vertical="center"/>
    </xf>
    <xf numFmtId="43" fontId="2" fillId="0" borderId="8" xfId="4" applyFont="1" applyFill="1" applyBorder="1" applyAlignment="1">
      <alignment vertical="center"/>
    </xf>
    <xf numFmtId="43" fontId="2" fillId="0" borderId="10" xfId="4" applyFont="1" applyFill="1" applyBorder="1" applyAlignment="1">
      <alignment vertical="center"/>
    </xf>
    <xf numFmtId="43" fontId="2" fillId="0" borderId="7" xfId="4" applyFont="1" applyFill="1" applyBorder="1" applyAlignment="1">
      <alignment vertical="center"/>
    </xf>
    <xf numFmtId="43" fontId="2" fillId="0" borderId="4" xfId="4" applyFont="1" applyBorder="1" applyAlignment="1">
      <alignment horizontal="right"/>
    </xf>
    <xf numFmtId="43" fontId="2" fillId="0" borderId="4" xfId="4" applyFont="1" applyBorder="1" applyAlignment="1"/>
    <xf numFmtId="43" fontId="2" fillId="0" borderId="6" xfId="4" applyFont="1" applyBorder="1" applyAlignment="1">
      <alignment horizontal="right"/>
    </xf>
    <xf numFmtId="43" fontId="2" fillId="3" borderId="4" xfId="4" applyFont="1" applyFill="1" applyBorder="1" applyAlignment="1">
      <alignment horizontal="right"/>
    </xf>
    <xf numFmtId="43" fontId="2" fillId="0" borderId="13" xfId="4" applyFont="1" applyFill="1" applyBorder="1" applyAlignment="1">
      <alignment horizontal="center"/>
    </xf>
    <xf numFmtId="43" fontId="2" fillId="0" borderId="15" xfId="4" applyFont="1" applyFill="1" applyBorder="1" applyAlignment="1"/>
    <xf numFmtId="43" fontId="2" fillId="0" borderId="0" xfId="4" applyFont="1" applyFill="1" applyBorder="1" applyAlignment="1">
      <alignment horizontal="center"/>
    </xf>
    <xf numFmtId="43" fontId="2" fillId="0" borderId="0" xfId="4" applyFont="1" applyFill="1" applyBorder="1" applyAlignment="1"/>
    <xf numFmtId="43" fontId="2" fillId="3" borderId="0" xfId="4" applyFont="1" applyFill="1" applyBorder="1" applyAlignment="1"/>
    <xf numFmtId="43" fontId="2" fillId="0" borderId="13" xfId="4" applyFont="1" applyBorder="1" applyAlignment="1"/>
    <xf numFmtId="43" fontId="2" fillId="0" borderId="2" xfId="4" applyFont="1" applyBorder="1" applyAlignment="1"/>
    <xf numFmtId="43" fontId="2" fillId="0" borderId="0" xfId="4" applyFont="1" applyAlignment="1"/>
    <xf numFmtId="43" fontId="2" fillId="0" borderId="0" xfId="4" applyFont="1" applyBorder="1" applyAlignment="1"/>
    <xf numFmtId="43" fontId="2" fillId="2" borderId="8" xfId="4" applyFont="1" applyFill="1" applyBorder="1" applyAlignment="1">
      <alignment horizontal="left" vertical="center"/>
    </xf>
    <xf numFmtId="43" fontId="2" fillId="3" borderId="7" xfId="4" applyFont="1" applyFill="1" applyBorder="1" applyAlignment="1">
      <alignment horizontal="right"/>
    </xf>
    <xf numFmtId="43" fontId="2" fillId="3" borderId="5" xfId="4" applyFont="1" applyFill="1" applyBorder="1" applyAlignment="1">
      <alignment horizontal="right"/>
    </xf>
    <xf numFmtId="43" fontId="2" fillId="0" borderId="9" xfId="4" applyFont="1" applyBorder="1" applyAlignment="1">
      <alignment horizontal="right"/>
    </xf>
    <xf numFmtId="43" fontId="2" fillId="0" borderId="11" xfId="4" applyFont="1" applyFill="1" applyBorder="1" applyAlignment="1">
      <alignment horizontal="right"/>
    </xf>
    <xf numFmtId="43" fontId="2" fillId="0" borderId="3" xfId="4" applyNumberFormat="1" applyFont="1" applyFill="1" applyBorder="1" applyAlignment="1">
      <alignment horizontal="right"/>
    </xf>
    <xf numFmtId="43" fontId="2" fillId="0" borderId="9" xfId="4" applyNumberFormat="1" applyFont="1" applyFill="1" applyBorder="1" applyAlignment="1">
      <alignment horizontal="right"/>
    </xf>
    <xf numFmtId="43" fontId="2" fillId="0" borderId="9" xfId="4" applyNumberFormat="1" applyFont="1" applyFill="1" applyBorder="1" applyAlignment="1"/>
    <xf numFmtId="43" fontId="2" fillId="0" borderId="5" xfId="4" applyNumberFormat="1" applyFont="1" applyFill="1" applyBorder="1" applyAlignment="1">
      <alignment horizontal="right"/>
    </xf>
    <xf numFmtId="43" fontId="2" fillId="0" borderId="7" xfId="4" applyNumberFormat="1" applyFont="1" applyFill="1" applyBorder="1" applyAlignment="1">
      <alignment horizontal="right"/>
    </xf>
    <xf numFmtId="43" fontId="2" fillId="0" borderId="7" xfId="4" applyNumberFormat="1" applyFont="1" applyFill="1" applyBorder="1" applyAlignment="1"/>
    <xf numFmtId="43" fontId="2" fillId="0" borderId="4" xfId="4" applyNumberFormat="1" applyFont="1" applyFill="1" applyBorder="1" applyAlignment="1">
      <alignment horizontal="right"/>
    </xf>
    <xf numFmtId="43" fontId="2" fillId="0" borderId="8" xfId="4" applyNumberFormat="1" applyFont="1" applyFill="1" applyBorder="1" applyAlignment="1"/>
    <xf numFmtId="43" fontId="30" fillId="0" borderId="10" xfId="4" applyFont="1" applyFill="1" applyBorder="1" applyAlignment="1">
      <alignment horizontal="right"/>
    </xf>
    <xf numFmtId="43" fontId="30" fillId="0" borderId="9" xfId="4" applyFont="1" applyFill="1" applyBorder="1" applyAlignment="1">
      <alignment horizontal="right"/>
    </xf>
    <xf numFmtId="43" fontId="30" fillId="0" borderId="7" xfId="4" applyFont="1" applyFill="1" applyBorder="1" applyAlignment="1">
      <alignment horizontal="right"/>
    </xf>
    <xf numFmtId="43" fontId="30" fillId="0" borderId="8" xfId="4" applyFont="1" applyFill="1" applyBorder="1" applyAlignment="1">
      <alignment horizontal="right"/>
    </xf>
    <xf numFmtId="43" fontId="2" fillId="0" borderId="5" xfId="4" applyFont="1" applyFill="1" applyBorder="1" applyAlignment="1">
      <alignment horizontal="center"/>
    </xf>
    <xf numFmtId="0" fontId="4" fillId="2" borderId="1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vertical="top" wrapText="1"/>
    </xf>
    <xf numFmtId="0" fontId="32" fillId="0" borderId="0" xfId="0" applyFont="1" applyFill="1" applyAlignment="1">
      <alignment horizontal="left"/>
    </xf>
    <xf numFmtId="0" fontId="31" fillId="0" borderId="0" xfId="0" applyNumberFormat="1" applyFont="1" applyFill="1" applyAlignment="1"/>
    <xf numFmtId="0" fontId="31" fillId="0" borderId="0" xfId="0" applyFont="1" applyFill="1" applyAlignment="1"/>
    <xf numFmtId="0" fontId="31" fillId="0" borderId="0" xfId="1" applyFont="1" applyFill="1" applyAlignment="1"/>
    <xf numFmtId="0" fontId="31" fillId="0" borderId="0" xfId="1" applyFont="1" applyAlignment="1">
      <alignment vertical="top" wrapText="1"/>
    </xf>
    <xf numFmtId="4" fontId="4" fillId="2" borderId="10" xfId="1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43" fontId="2" fillId="0" borderId="12" xfId="4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" fontId="4" fillId="2" borderId="4" xfId="1" applyNumberFormat="1" applyFont="1" applyFill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2" fillId="0" borderId="3" xfId="7" applyNumberFormat="1" applyFont="1" applyFill="1" applyBorder="1" applyAlignment="1">
      <alignment horizontal="right"/>
    </xf>
    <xf numFmtId="4" fontId="2" fillId="0" borderId="9" xfId="7" applyNumberFormat="1" applyFont="1" applyFill="1" applyBorder="1" applyAlignment="1">
      <alignment horizontal="right"/>
    </xf>
    <xf numFmtId="4" fontId="2" fillId="0" borderId="10" xfId="7" applyNumberFormat="1" applyFont="1" applyFill="1" applyBorder="1" applyAlignment="1">
      <alignment horizontal="right"/>
    </xf>
    <xf numFmtId="4" fontId="2" fillId="0" borderId="0" xfId="7" applyNumberFormat="1" applyFont="1" applyFill="1" applyBorder="1" applyAlignment="1">
      <alignment horizontal="right"/>
    </xf>
    <xf numFmtId="4" fontId="2" fillId="0" borderId="4" xfId="7" applyNumberFormat="1" applyFont="1" applyFill="1" applyBorder="1" applyAlignment="1">
      <alignment horizontal="right"/>
    </xf>
    <xf numFmtId="4" fontId="2" fillId="0" borderId="8" xfId="7" applyNumberFormat="1" applyFont="1" applyFill="1" applyBorder="1" applyAlignment="1">
      <alignment horizontal="right"/>
    </xf>
    <xf numFmtId="4" fontId="2" fillId="0" borderId="12" xfId="7" applyNumberFormat="1" applyFont="1" applyFill="1" applyBorder="1" applyAlignment="1">
      <alignment horizontal="right"/>
    </xf>
    <xf numFmtId="4" fontId="2" fillId="0" borderId="1" xfId="7" applyNumberFormat="1" applyFont="1" applyFill="1" applyBorder="1" applyAlignment="1">
      <alignment horizontal="right"/>
    </xf>
    <xf numFmtId="4" fontId="2" fillId="0" borderId="6" xfId="7" applyNumberFormat="1" applyFont="1" applyFill="1" applyBorder="1" applyAlignment="1">
      <alignment horizontal="right"/>
    </xf>
    <xf numFmtId="4" fontId="2" fillId="0" borderId="13" xfId="7" applyNumberFormat="1" applyFont="1" applyFill="1" applyBorder="1" applyAlignment="1">
      <alignment horizontal="right" wrapText="1"/>
    </xf>
    <xf numFmtId="4" fontId="2" fillId="0" borderId="8" xfId="7" applyNumberFormat="1" applyFont="1" applyFill="1" applyBorder="1" applyAlignment="1">
      <alignment horizontal="right" wrapText="1"/>
    </xf>
    <xf numFmtId="4" fontId="2" fillId="0" borderId="15" xfId="7" applyNumberFormat="1" applyFont="1" applyFill="1" applyBorder="1" applyAlignment="1">
      <alignment horizontal="right"/>
    </xf>
    <xf numFmtId="4" fontId="2" fillId="0" borderId="7" xfId="7" applyNumberFormat="1" applyFont="1" applyFill="1" applyBorder="1" applyAlignment="1">
      <alignment horizontal="right"/>
    </xf>
    <xf numFmtId="4" fontId="2" fillId="0" borderId="13" xfId="7" applyNumberFormat="1" applyFont="1" applyFill="1" applyBorder="1" applyAlignment="1">
      <alignment horizontal="right"/>
    </xf>
    <xf numFmtId="4" fontId="2" fillId="0" borderId="12" xfId="7" applyNumberFormat="1" applyFont="1" applyBorder="1" applyAlignment="1">
      <alignment horizontal="right"/>
    </xf>
    <xf numFmtId="4" fontId="2" fillId="0" borderId="15" xfId="7" applyNumberFormat="1" applyFont="1" applyBorder="1" applyAlignment="1">
      <alignment horizontal="right"/>
    </xf>
    <xf numFmtId="4" fontId="2" fillId="0" borderId="14" xfId="7" applyNumberFormat="1" applyFont="1" applyFill="1" applyBorder="1" applyAlignment="1">
      <alignment horizontal="right"/>
    </xf>
    <xf numFmtId="4" fontId="2" fillId="0" borderId="1" xfId="7" applyNumberFormat="1" applyFont="1" applyBorder="1" applyAlignment="1">
      <alignment horizontal="right"/>
    </xf>
    <xf numFmtId="4" fontId="2" fillId="0" borderId="0" xfId="7" applyNumberFormat="1" applyFont="1" applyAlignment="1">
      <alignment horizontal="right"/>
    </xf>
    <xf numFmtId="4" fontId="2" fillId="0" borderId="5" xfId="7" applyNumberFormat="1" applyFont="1" applyFill="1" applyBorder="1" applyAlignment="1">
      <alignment horizontal="right"/>
    </xf>
    <xf numFmtId="4" fontId="2" fillId="0" borderId="8" xfId="7" applyNumberFormat="1" applyFont="1" applyBorder="1" applyAlignment="1">
      <alignment horizontal="right"/>
    </xf>
    <xf numFmtId="4" fontId="2" fillId="0" borderId="11" xfId="7" applyNumberFormat="1" applyFont="1" applyBorder="1" applyAlignment="1">
      <alignment horizontal="right"/>
    </xf>
    <xf numFmtId="4" fontId="2" fillId="0" borderId="4" xfId="7" applyNumberFormat="1" applyFont="1" applyBorder="1" applyAlignment="1">
      <alignment horizontal="right"/>
    </xf>
    <xf numFmtId="4" fontId="2" fillId="0" borderId="7" xfId="7" applyNumberFormat="1" applyFont="1" applyBorder="1" applyAlignment="1">
      <alignment horizontal="right"/>
    </xf>
    <xf numFmtId="4" fontId="2" fillId="0" borderId="7" xfId="7" applyNumberFormat="1" applyFont="1" applyFill="1" applyBorder="1" applyAlignment="1">
      <alignment horizontal="right" vertical="center" wrapText="1"/>
    </xf>
    <xf numFmtId="4" fontId="2" fillId="0" borderId="11" xfId="7" applyNumberFormat="1" applyFont="1" applyFill="1" applyBorder="1" applyAlignment="1">
      <alignment horizontal="right"/>
    </xf>
    <xf numFmtId="4" fontId="2" fillId="0" borderId="8" xfId="1" applyNumberFormat="1" applyFont="1" applyFill="1" applyBorder="1" applyAlignment="1"/>
    <xf numFmtId="4" fontId="4" fillId="2" borderId="9" xfId="1" applyNumberFormat="1" applyFont="1" applyFill="1" applyBorder="1" applyAlignment="1">
      <alignment horizontal="center" vertical="center"/>
    </xf>
    <xf numFmtId="4" fontId="4" fillId="0" borderId="10" xfId="1" applyNumberFormat="1" applyFont="1" applyBorder="1" applyAlignment="1">
      <alignment vertical="top" wrapText="1"/>
    </xf>
    <xf numFmtId="4" fontId="4" fillId="0" borderId="9" xfId="1" applyNumberFormat="1" applyFont="1" applyBorder="1" applyAlignment="1">
      <alignment vertical="top" wrapText="1"/>
    </xf>
    <xf numFmtId="0" fontId="4" fillId="0" borderId="9" xfId="1" applyFont="1" applyBorder="1" applyAlignment="1">
      <alignment horizontal="left" vertical="top" wrapText="1"/>
    </xf>
    <xf numFmtId="0" fontId="2" fillId="0" borderId="3" xfId="1" applyFont="1" applyFill="1" applyBorder="1" applyAlignment="1"/>
    <xf numFmtId="0" fontId="2" fillId="0" borderId="5" xfId="1" applyFont="1" applyFill="1" applyBorder="1" applyAlignment="1"/>
    <xf numFmtId="43" fontId="33" fillId="2" borderId="10" xfId="4" applyFont="1" applyFill="1" applyBorder="1" applyAlignment="1">
      <alignment horizontal="center" vertical="center" wrapText="1"/>
    </xf>
    <xf numFmtId="43" fontId="33" fillId="2" borderId="8" xfId="4" applyFont="1" applyFill="1" applyBorder="1" applyAlignment="1">
      <alignment horizontal="center" vertical="center" wrapText="1"/>
    </xf>
    <xf numFmtId="43" fontId="2" fillId="0" borderId="3" xfId="7" applyFont="1" applyFill="1" applyBorder="1" applyAlignment="1">
      <alignment horizontal="right"/>
    </xf>
    <xf numFmtId="43" fontId="2" fillId="0" borderId="10" xfId="7" applyFont="1" applyFill="1" applyBorder="1" applyAlignment="1">
      <alignment horizontal="right"/>
    </xf>
    <xf numFmtId="43" fontId="2" fillId="0" borderId="9" xfId="7" applyFont="1" applyFill="1" applyBorder="1" applyAlignment="1">
      <alignment horizontal="right"/>
    </xf>
    <xf numFmtId="43" fontId="2" fillId="2" borderId="4" xfId="7" applyFont="1" applyFill="1" applyBorder="1" applyAlignment="1">
      <alignment horizontal="right"/>
    </xf>
    <xf numFmtId="43" fontId="2" fillId="2" borderId="8" xfId="7" applyFont="1" applyFill="1" applyBorder="1" applyAlignment="1">
      <alignment horizontal="right"/>
    </xf>
    <xf numFmtId="43" fontId="2" fillId="0" borderId="7" xfId="7" applyFont="1" applyFill="1" applyBorder="1" applyAlignment="1">
      <alignment horizontal="right"/>
    </xf>
    <xf numFmtId="43" fontId="2" fillId="4" borderId="8" xfId="7" applyFont="1" applyFill="1" applyBorder="1" applyAlignment="1">
      <alignment horizontal="right"/>
    </xf>
    <xf numFmtId="43" fontId="2" fillId="0" borderId="8" xfId="7" applyFont="1" applyFill="1" applyBorder="1" applyAlignment="1">
      <alignment horizontal="right"/>
    </xf>
    <xf numFmtId="43" fontId="2" fillId="0" borderId="8" xfId="7" applyFont="1" applyBorder="1" applyAlignment="1">
      <alignment horizontal="right"/>
    </xf>
    <xf numFmtId="43" fontId="2" fillId="0" borderId="3" xfId="7" applyFont="1" applyBorder="1" applyAlignment="1">
      <alignment horizontal="right"/>
    </xf>
    <xf numFmtId="43" fontId="2" fillId="0" borderId="5" xfId="7" applyFont="1" applyBorder="1" applyAlignment="1">
      <alignment horizontal="right"/>
    </xf>
    <xf numFmtId="43" fontId="2" fillId="0" borderId="14" xfId="7" applyFont="1" applyBorder="1" applyAlignment="1">
      <alignment horizontal="right"/>
    </xf>
    <xf numFmtId="43" fontId="2" fillId="0" borderId="0" xfId="7" applyFont="1" applyBorder="1" applyAlignment="1">
      <alignment horizontal="right" wrapText="1"/>
    </xf>
    <xf numFmtId="43" fontId="2" fillId="0" borderId="10" xfId="7" applyFont="1" applyBorder="1" applyAlignment="1">
      <alignment horizontal="right"/>
    </xf>
    <xf numFmtId="43" fontId="2" fillId="0" borderId="7" xfId="7" applyFont="1" applyBorder="1" applyAlignment="1">
      <alignment horizontal="right"/>
    </xf>
    <xf numFmtId="43" fontId="2" fillId="0" borderId="3" xfId="7" applyFont="1" applyBorder="1" applyAlignment="1">
      <alignment horizontal="right" wrapText="1"/>
    </xf>
    <xf numFmtId="43" fontId="2" fillId="4" borderId="4" xfId="7" applyFont="1" applyFill="1" applyBorder="1" applyAlignment="1"/>
    <xf numFmtId="43" fontId="2" fillId="0" borderId="4" xfId="7" applyFont="1" applyFill="1" applyBorder="1" applyAlignment="1"/>
    <xf numFmtId="43" fontId="2" fillId="4" borderId="8" xfId="7" applyFont="1" applyFill="1" applyBorder="1" applyAlignment="1"/>
    <xf numFmtId="43" fontId="2" fillId="0" borderId="0" xfId="7" applyFont="1" applyFill="1" applyBorder="1" applyAlignment="1">
      <alignment horizontal="right"/>
    </xf>
    <xf numFmtId="43" fontId="2" fillId="0" borderId="2" xfId="7" applyFont="1" applyFill="1" applyBorder="1" applyAlignment="1">
      <alignment horizontal="right"/>
    </xf>
    <xf numFmtId="43" fontId="2" fillId="0" borderId="5" xfId="7" applyFont="1" applyFill="1" applyBorder="1" applyAlignment="1">
      <alignment horizontal="right"/>
    </xf>
    <xf numFmtId="43" fontId="2" fillId="0" borderId="9" xfId="7" applyFont="1" applyFill="1" applyBorder="1" applyAlignment="1">
      <alignment horizontal="center" vertical="center"/>
    </xf>
    <xf numFmtId="43" fontId="2" fillId="0" borderId="9" xfId="7" applyFont="1" applyFill="1" applyBorder="1" applyAlignment="1"/>
    <xf numFmtId="49" fontId="4" fillId="0" borderId="9" xfId="0" applyNumberFormat="1" applyFont="1" applyFill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43" fontId="2" fillId="0" borderId="7" xfId="7" applyFont="1" applyFill="1" applyBorder="1" applyAlignment="1"/>
    <xf numFmtId="0" fontId="4" fillId="0" borderId="2" xfId="1" applyFont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4" fillId="0" borderId="0" xfId="0" applyNumberFormat="1" applyFont="1" applyFill="1" applyAlignment="1"/>
    <xf numFmtId="0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0" fontId="24" fillId="0" borderId="0" xfId="0" applyNumberFormat="1" applyFont="1" applyFill="1"/>
    <xf numFmtId="0" fontId="13" fillId="0" borderId="0" xfId="0" applyNumberFormat="1" applyFont="1" applyFill="1"/>
    <xf numFmtId="49" fontId="2" fillId="0" borderId="0" xfId="0" applyNumberFormat="1" applyFont="1" applyFill="1" applyAlignment="1"/>
    <xf numFmtId="0" fontId="24" fillId="0" borderId="0" xfId="0" applyFont="1" applyFill="1" applyAlignment="1"/>
    <xf numFmtId="0" fontId="24" fillId="0" borderId="0" xfId="0" applyFont="1" applyFill="1"/>
    <xf numFmtId="0" fontId="13" fillId="0" borderId="0" xfId="0" applyFont="1" applyFill="1"/>
    <xf numFmtId="0" fontId="24" fillId="0" borderId="0" xfId="0" applyFont="1" applyFill="1" applyAlignment="1">
      <alignment horizontal="left" vertical="top"/>
    </xf>
    <xf numFmtId="0" fontId="13" fillId="0" borderId="0" xfId="0" applyFont="1" applyFill="1" applyAlignment="1">
      <alignment horizontal="left" vertical="top"/>
    </xf>
    <xf numFmtId="0" fontId="25" fillId="0" borderId="0" xfId="1" applyFont="1" applyFill="1" applyBorder="1" applyAlignment="1"/>
    <xf numFmtId="0" fontId="26" fillId="0" borderId="0" xfId="1" applyFont="1" applyFill="1" applyBorder="1" applyAlignment="1"/>
    <xf numFmtId="0" fontId="2" fillId="0" borderId="0" xfId="1" applyFont="1" applyFill="1" applyAlignment="1">
      <alignment horizontal="left" vertical="top" wrapText="1"/>
    </xf>
    <xf numFmtId="4" fontId="2" fillId="0" borderId="0" xfId="1" applyNumberFormat="1" applyFont="1" applyFill="1" applyBorder="1" applyAlignment="1"/>
    <xf numFmtId="0" fontId="24" fillId="0" borderId="0" xfId="1" applyFont="1" applyFill="1" applyAlignment="1"/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43" fontId="4" fillId="2" borderId="14" xfId="1" applyNumberFormat="1" applyFont="1" applyFill="1" applyBorder="1" applyAlignment="1">
      <alignment horizontal="center" vertical="center" wrapText="1"/>
    </xf>
    <xf numFmtId="43" fontId="4" fillId="2" borderId="10" xfId="1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top"/>
    </xf>
    <xf numFmtId="0" fontId="13" fillId="0" borderId="0" xfId="1" applyFont="1" applyFill="1" applyAlignment="1">
      <alignment horizontal="left" vertical="top"/>
    </xf>
    <xf numFmtId="0" fontId="2" fillId="0" borderId="0" xfId="1" applyFont="1" applyFill="1" applyAlignment="1">
      <alignment horizontal="left"/>
    </xf>
    <xf numFmtId="0" fontId="24" fillId="0" borderId="0" xfId="0" applyFont="1"/>
    <xf numFmtId="0" fontId="13" fillId="0" borderId="0" xfId="0" applyFont="1"/>
    <xf numFmtId="43" fontId="1" fillId="3" borderId="1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4" fillId="0" borderId="0" xfId="0" applyNumberFormat="1" applyFont="1" applyFill="1" applyAlignment="1"/>
    <xf numFmtId="0" fontId="0" fillId="0" borderId="0" xfId="0" applyAlignment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/>
    <xf numFmtId="49" fontId="4" fillId="0" borderId="0" xfId="0" applyNumberFormat="1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/>
    </xf>
    <xf numFmtId="0" fontId="9" fillId="2" borderId="7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4" fontId="4" fillId="0" borderId="0" xfId="1" applyNumberFormat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4" fontId="27" fillId="0" borderId="0" xfId="1" applyNumberFormat="1" applyFont="1" applyFill="1" applyBorder="1" applyAlignment="1">
      <alignment vertical="center"/>
    </xf>
    <xf numFmtId="4" fontId="8" fillId="0" borderId="0" xfId="1" applyNumberFormat="1" applyFont="1" applyFill="1" applyBorder="1" applyAlignment="1">
      <alignment vertical="center"/>
    </xf>
    <xf numFmtId="0" fontId="27" fillId="0" borderId="0" xfId="1" applyFont="1" applyFill="1" applyBorder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5" fillId="0" borderId="0" xfId="0" applyNumberFormat="1" applyFont="1" applyFill="1" applyAlignment="1">
      <alignment vertical="justify" wrapText="1"/>
    </xf>
    <xf numFmtId="49" fontId="4" fillId="0" borderId="0" xfId="0" applyNumberFormat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NumberFormat="1" applyFont="1" applyFill="1" applyAlignment="1"/>
    <xf numFmtId="4" fontId="4" fillId="0" borderId="0" xfId="1" applyNumberFormat="1" applyFont="1" applyFill="1" applyBorder="1" applyAlignment="1">
      <alignment horizontal="left"/>
    </xf>
    <xf numFmtId="4" fontId="4" fillId="0" borderId="0" xfId="1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0" fontId="4" fillId="0" borderId="0" xfId="0" applyFont="1" applyFill="1" applyBorder="1" applyAlignment="1">
      <alignment horizontal="right" vertical="top" wrapText="1"/>
    </xf>
    <xf numFmtId="0" fontId="4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left"/>
    </xf>
    <xf numFmtId="49" fontId="9" fillId="2" borderId="14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2" borderId="10" xfId="0" applyFont="1" applyFill="1" applyBorder="1" applyAlignment="1">
      <alignment horizontal="center"/>
    </xf>
    <xf numFmtId="0" fontId="8" fillId="0" borderId="10" xfId="0" applyFont="1" applyBorder="1" applyAlignment="1"/>
    <xf numFmtId="0" fontId="9" fillId="2" borderId="10" xfId="1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/>
    </xf>
    <xf numFmtId="0" fontId="9" fillId="2" borderId="13" xfId="0" applyNumberFormat="1" applyFont="1" applyFill="1" applyBorder="1" applyAlignment="1">
      <alignment horizontal="center"/>
    </xf>
    <xf numFmtId="0" fontId="9" fillId="2" borderId="11" xfId="0" applyNumberFormat="1" applyFont="1" applyFill="1" applyBorder="1" applyAlignment="1">
      <alignment horizontal="center"/>
    </xf>
    <xf numFmtId="0" fontId="9" fillId="2" borderId="10" xfId="0" applyNumberFormat="1" applyFont="1" applyFill="1" applyBorder="1" applyAlignment="1">
      <alignment horizontal="center" vertical="center" wrapText="1"/>
    </xf>
    <xf numFmtId="0" fontId="9" fillId="2" borderId="9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0" fillId="0" borderId="15" xfId="0" applyBorder="1" applyAlignment="1"/>
    <xf numFmtId="0" fontId="4" fillId="0" borderId="0" xfId="0" applyFont="1" applyFill="1" applyAlignment="1">
      <alignment horizontal="left"/>
    </xf>
    <xf numFmtId="0" fontId="0" fillId="0" borderId="15" xfId="0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/>
    <xf numFmtId="0" fontId="0" fillId="0" borderId="0" xfId="0" applyAlignment="1"/>
    <xf numFmtId="0" fontId="2" fillId="0" borderId="0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0" xfId="1" applyNumberFormat="1" applyFont="1" applyFill="1" applyBorder="1" applyAlignment="1">
      <alignment horizontal="center" wrapText="1"/>
    </xf>
    <xf numFmtId="0" fontId="9" fillId="2" borderId="9" xfId="1" applyNumberFormat="1" applyFont="1" applyFill="1" applyBorder="1" applyAlignment="1">
      <alignment horizontal="center" wrapText="1"/>
    </xf>
    <xf numFmtId="0" fontId="9" fillId="2" borderId="7" xfId="1" applyNumberFormat="1" applyFont="1" applyFill="1" applyBorder="1" applyAlignment="1">
      <alignment horizontal="center" wrapText="1"/>
    </xf>
    <xf numFmtId="0" fontId="34" fillId="0" borderId="0" xfId="0" applyFont="1" applyFill="1" applyBorder="1" applyAlignment="1">
      <alignment horizontal="left" vertical="center" wrapText="1"/>
    </xf>
    <xf numFmtId="37" fontId="9" fillId="2" borderId="14" xfId="0" applyNumberFormat="1" applyFont="1" applyFill="1" applyBorder="1" applyAlignment="1">
      <alignment horizontal="center" vertical="center"/>
    </xf>
    <xf numFmtId="37" fontId="9" fillId="2" borderId="15" xfId="0" applyNumberFormat="1" applyFont="1" applyFill="1" applyBorder="1" applyAlignment="1">
      <alignment horizontal="center" vertical="center"/>
    </xf>
    <xf numFmtId="37" fontId="9" fillId="2" borderId="12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justify"/>
    </xf>
    <xf numFmtId="0" fontId="4" fillId="0" borderId="0" xfId="0" applyFont="1" applyFill="1" applyAlignment="1">
      <alignment horizontal="justify" vertical="justify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7" fontId="12" fillId="2" borderId="1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7" fontId="9" fillId="2" borderId="10" xfId="0" applyNumberFormat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37" fontId="4" fillId="2" borderId="10" xfId="0" applyNumberFormat="1" applyFont="1" applyFill="1" applyBorder="1" applyAlignment="1">
      <alignment horizontal="center" vertical="center" wrapText="1"/>
    </xf>
    <xf numFmtId="37" fontId="4" fillId="2" borderId="7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2" borderId="1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0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/>
    </xf>
    <xf numFmtId="0" fontId="4" fillId="2" borderId="7" xfId="1" applyNumberFormat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23" fillId="2" borderId="14" xfId="1" applyFont="1" applyFill="1" applyBorder="1" applyAlignment="1">
      <alignment horizontal="center" vertical="center"/>
    </xf>
    <xf numFmtId="0" fontId="23" fillId="2" borderId="15" xfId="1" applyFont="1" applyFill="1" applyBorder="1" applyAlignment="1">
      <alignment horizontal="center" vertical="center"/>
    </xf>
    <xf numFmtId="0" fontId="23" fillId="2" borderId="12" xfId="1" applyFont="1" applyFill="1" applyBorder="1" applyAlignment="1">
      <alignment horizontal="center" vertical="center"/>
    </xf>
    <xf numFmtId="0" fontId="23" fillId="2" borderId="5" xfId="1" applyFont="1" applyFill="1" applyBorder="1" applyAlignment="1">
      <alignment horizontal="center" vertical="center"/>
    </xf>
    <xf numFmtId="0" fontId="23" fillId="2" borderId="2" xfId="1" applyFont="1" applyFill="1" applyBorder="1" applyAlignment="1">
      <alignment horizontal="center" vertical="center"/>
    </xf>
    <xf numFmtId="0" fontId="23" fillId="2" borderId="6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2" fillId="2" borderId="10" xfId="0" applyNumberFormat="1" applyFont="1" applyFill="1" applyBorder="1" applyAlignment="1">
      <alignment horizontal="center" vertical="center"/>
    </xf>
    <xf numFmtId="0" fontId="12" fillId="2" borderId="9" xfId="0" applyNumberFormat="1" applyFont="1" applyFill="1" applyBorder="1" applyAlignment="1">
      <alignment horizontal="center" vertical="center"/>
    </xf>
    <xf numFmtId="0" fontId="12" fillId="2" borderId="7" xfId="0" applyNumberFormat="1" applyFont="1" applyFill="1" applyBorder="1" applyAlignment="1">
      <alignment horizontal="center" vertical="center"/>
    </xf>
    <xf numFmtId="3" fontId="4" fillId="2" borderId="10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12" fillId="2" borderId="10" xfId="1" applyNumberFormat="1" applyFont="1" applyFill="1" applyBorder="1" applyAlignment="1">
      <alignment horizontal="center" vertical="center"/>
    </xf>
    <xf numFmtId="3" fontId="12" fillId="2" borderId="7" xfId="1" applyNumberFormat="1" applyFont="1" applyFill="1" applyBorder="1" applyAlignment="1">
      <alignment horizontal="center" vertical="center"/>
    </xf>
    <xf numFmtId="0" fontId="12" fillId="2" borderId="10" xfId="1" applyNumberFormat="1" applyFont="1" applyFill="1" applyBorder="1" applyAlignment="1">
      <alignment horizontal="center" vertical="center"/>
    </xf>
    <xf numFmtId="0" fontId="12" fillId="2" borderId="7" xfId="1" applyNumberFormat="1" applyFont="1" applyFill="1" applyBorder="1" applyAlignment="1">
      <alignment horizontal="center" vertical="center"/>
    </xf>
    <xf numFmtId="3" fontId="12" fillId="2" borderId="10" xfId="0" applyNumberFormat="1" applyFont="1" applyFill="1" applyBorder="1" applyAlignment="1">
      <alignment horizontal="center" vertical="center"/>
    </xf>
    <xf numFmtId="3" fontId="12" fillId="2" borderId="7" xfId="0" applyNumberFormat="1" applyFont="1" applyFill="1" applyBorder="1" applyAlignment="1">
      <alignment horizontal="center" vertical="center"/>
    </xf>
    <xf numFmtId="0" fontId="4" fillId="0" borderId="15" xfId="0" applyNumberFormat="1" applyFont="1" applyFill="1" applyBorder="1" applyAlignment="1"/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8" fillId="2" borderId="11" xfId="0" applyFont="1" applyFill="1" applyBorder="1" applyAlignment="1"/>
    <xf numFmtId="0" fontId="2" fillId="0" borderId="15" xfId="0" applyNumberFormat="1" applyFont="1" applyFill="1" applyBorder="1" applyAlignment="1"/>
    <xf numFmtId="0" fontId="9" fillId="2" borderId="4" xfId="0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18" fillId="2" borderId="13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4" fontId="4" fillId="0" borderId="0" xfId="1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Alignment="1">
      <alignment horizontal="left"/>
    </xf>
    <xf numFmtId="4" fontId="12" fillId="2" borderId="4" xfId="1" applyNumberFormat="1" applyFont="1" applyFill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" fontId="4" fillId="2" borderId="10" xfId="1" applyNumberFormat="1" applyFont="1" applyFill="1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7" xfId="0" applyNumberFormat="1" applyBorder="1" applyAlignment="1">
      <alignment vertical="center"/>
    </xf>
    <xf numFmtId="4" fontId="4" fillId="2" borderId="4" xfId="1" applyNumberFormat="1" applyFont="1" applyFill="1" applyBorder="1" applyAlignment="1">
      <alignment horizontal="center" vertical="center"/>
    </xf>
    <xf numFmtId="4" fontId="4" fillId="2" borderId="4" xfId="1" applyNumberFormat="1" applyFont="1" applyFill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4" fillId="0" borderId="0" xfId="1" applyNumberFormat="1" applyFont="1" applyFill="1" applyBorder="1" applyAlignment="1">
      <alignment horizontal="left"/>
    </xf>
    <xf numFmtId="0" fontId="0" fillId="0" borderId="11" xfId="0" applyBorder="1" applyAlignment="1">
      <alignment horizontal="center"/>
    </xf>
    <xf numFmtId="4" fontId="14" fillId="0" borderId="0" xfId="1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right" vertical="center"/>
    </xf>
    <xf numFmtId="0" fontId="2" fillId="0" borderId="15" xfId="1" applyFont="1" applyBorder="1" applyAlignment="1">
      <alignment horizontal="left" vertical="top" wrapText="1"/>
    </xf>
    <xf numFmtId="0" fontId="4" fillId="0" borderId="15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4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right" vertical="top" wrapText="1"/>
    </xf>
    <xf numFmtId="0" fontId="12" fillId="2" borderId="4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4" fillId="2" borderId="1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1" applyFont="1" applyFill="1" applyBorder="1" applyAlignment="1">
      <alignment horizontal="left"/>
    </xf>
    <xf numFmtId="49" fontId="6" fillId="2" borderId="10" xfId="1" applyNumberFormat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vertical="center"/>
    </xf>
    <xf numFmtId="0" fontId="2" fillId="0" borderId="15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2" fillId="0" borderId="0" xfId="1" applyFont="1" applyFill="1" applyBorder="1" applyAlignment="1">
      <alignment horizontal="justify" wrapText="1"/>
    </xf>
    <xf numFmtId="0" fontId="2" fillId="0" borderId="0" xfId="1" applyFont="1" applyFill="1" applyBorder="1" applyAlignment="1">
      <alignment horizontal="justify"/>
    </xf>
    <xf numFmtId="37" fontId="1" fillId="2" borderId="10" xfId="1" applyNumberFormat="1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6" fillId="2" borderId="1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5" xfId="0" applyNumberFormat="1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2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/>
    </xf>
    <xf numFmtId="0" fontId="4" fillId="0" borderId="0" xfId="0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</cellXfs>
  <cellStyles count="8">
    <cellStyle name="Normal" xfId="0" builtinId="0"/>
    <cellStyle name="Normal 2" xfId="1"/>
    <cellStyle name="Normal 3" xfId="2"/>
    <cellStyle name="Separador de milhares 2" xfId="3"/>
    <cellStyle name="Vírgula" xfId="4" builtinId="3"/>
    <cellStyle name="Vírgula 2" xfId="5"/>
    <cellStyle name="Vírgula 2 2" xfId="6"/>
    <cellStyle name="Vírgula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M229"/>
  <sheetViews>
    <sheetView showGridLines="0" tabSelected="1" zoomScale="85" zoomScaleNormal="85" zoomScaleSheetLayoutView="85" workbookViewId="0"/>
  </sheetViews>
  <sheetFormatPr defaultRowHeight="11.25" customHeight="1" x14ac:dyDescent="0.2"/>
  <cols>
    <col min="1" max="1" width="51.7109375" style="25" customWidth="1"/>
    <col min="2" max="2" width="15.28515625" style="25" customWidth="1"/>
    <col min="3" max="11" width="18.42578125" style="25" customWidth="1"/>
    <col min="12" max="12" width="11.7109375" style="25" customWidth="1"/>
    <col min="13" max="16384" width="9.140625" style="25"/>
  </cols>
  <sheetData>
    <row r="1" spans="1:10" ht="12.75" x14ac:dyDescent="0.2"/>
    <row r="2" spans="1:10" ht="25.5" customHeight="1" x14ac:dyDescent="0.35">
      <c r="A2" s="841" t="s">
        <v>1019</v>
      </c>
    </row>
    <row r="3" spans="1:10" ht="15.75" customHeight="1" x14ac:dyDescent="0.25">
      <c r="A3" s="82" t="s">
        <v>1020</v>
      </c>
    </row>
    <row r="4" spans="1:10" ht="15.75" customHeight="1" x14ac:dyDescent="0.25">
      <c r="A4" s="82" t="s">
        <v>1021</v>
      </c>
    </row>
    <row r="5" spans="1:10" ht="15.75" customHeight="1" x14ac:dyDescent="0.25">
      <c r="A5" s="82" t="s">
        <v>1022</v>
      </c>
    </row>
    <row r="6" spans="1:10" ht="15.75" x14ac:dyDescent="0.25">
      <c r="A6" s="45" t="s">
        <v>90</v>
      </c>
    </row>
    <row r="7" spans="1:10" ht="12.75" x14ac:dyDescent="0.2">
      <c r="A7" s="24"/>
    </row>
    <row r="8" spans="1:10" ht="12.75" x14ac:dyDescent="0.2">
      <c r="A8" s="842" t="s">
        <v>1019</v>
      </c>
    </row>
    <row r="9" spans="1:10" ht="12.75" x14ac:dyDescent="0.2">
      <c r="A9" s="216" t="s">
        <v>74</v>
      </c>
    </row>
    <row r="10" spans="1:10" ht="12.75" x14ac:dyDescent="0.2">
      <c r="A10" s="217" t="s">
        <v>75</v>
      </c>
      <c r="B10" s="215"/>
      <c r="C10" s="215"/>
      <c r="D10" s="215"/>
      <c r="E10" s="215"/>
      <c r="F10" s="215"/>
      <c r="G10" s="215"/>
      <c r="H10" s="215"/>
      <c r="I10" s="215"/>
      <c r="J10" s="215"/>
    </row>
    <row r="11" spans="1:10" ht="12.75" x14ac:dyDescent="0.2">
      <c r="A11" s="218" t="s">
        <v>76</v>
      </c>
      <c r="B11" s="216"/>
      <c r="C11" s="216"/>
      <c r="D11" s="216"/>
      <c r="E11" s="216"/>
      <c r="F11" s="216"/>
      <c r="G11" s="216"/>
      <c r="H11" s="216"/>
      <c r="I11" s="216"/>
      <c r="J11" s="216"/>
    </row>
    <row r="12" spans="1:10" ht="12.75" x14ac:dyDescent="0.2">
      <c r="A12" s="843" t="s">
        <v>1023</v>
      </c>
      <c r="B12" s="763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217"/>
      <c r="D12" s="217"/>
      <c r="E12" s="217"/>
      <c r="F12" s="217"/>
      <c r="G12" s="217"/>
      <c r="H12" s="217"/>
      <c r="I12" s="217"/>
      <c r="J12" s="217"/>
    </row>
    <row r="13" spans="1:10" ht="12.75" hidden="1" x14ac:dyDescent="0.2">
      <c r="A13" s="218"/>
      <c r="B13" s="218"/>
      <c r="C13" s="218"/>
      <c r="D13" s="218"/>
      <c r="E13" s="218"/>
      <c r="F13" s="218"/>
      <c r="G13" s="218"/>
      <c r="H13" s="218"/>
      <c r="I13" s="218"/>
      <c r="J13" s="218"/>
    </row>
    <row r="14" spans="1:10" ht="12.75" hidden="1" x14ac:dyDescent="0.2">
      <c r="A14" s="216"/>
      <c r="B14" s="216"/>
      <c r="C14" s="216"/>
      <c r="D14" s="216"/>
      <c r="E14" s="216"/>
      <c r="F14" s="216"/>
      <c r="G14" s="216"/>
      <c r="H14" s="216"/>
      <c r="I14" s="216"/>
      <c r="J14" s="216"/>
    </row>
    <row r="15" spans="1:10" ht="12.75" x14ac:dyDescent="0.2"/>
    <row r="16" spans="1:10" ht="11.25" hidden="1" customHeight="1" x14ac:dyDescent="0.2">
      <c r="A16" s="27"/>
      <c r="B16" s="27"/>
      <c r="C16" s="27"/>
      <c r="D16" s="27"/>
      <c r="E16" s="27"/>
      <c r="F16" s="27"/>
      <c r="G16" s="27"/>
      <c r="H16" s="27"/>
      <c r="I16" s="26"/>
      <c r="J16" s="26"/>
    </row>
    <row r="17" spans="1:12" ht="11.25" customHeight="1" x14ac:dyDescent="0.2">
      <c r="A17" s="29" t="s">
        <v>355</v>
      </c>
      <c r="B17" s="30"/>
      <c r="C17" s="31"/>
      <c r="D17" s="31"/>
      <c r="E17" s="32"/>
      <c r="F17" s="31"/>
      <c r="G17" s="31"/>
      <c r="H17" s="34" t="s">
        <v>417</v>
      </c>
      <c r="I17" s="222"/>
      <c r="J17" s="220"/>
      <c r="K17" s="41"/>
      <c r="L17" s="41"/>
    </row>
    <row r="18" spans="1:12" ht="11.25" customHeight="1" x14ac:dyDescent="0.2">
      <c r="A18" s="163"/>
      <c r="B18" s="905" t="s">
        <v>524</v>
      </c>
      <c r="C18" s="434" t="s">
        <v>207</v>
      </c>
      <c r="D18" s="908" t="s">
        <v>78</v>
      </c>
      <c r="E18" s="909"/>
      <c r="F18" s="909"/>
      <c r="G18" s="909"/>
      <c r="H18" s="164" t="s">
        <v>113</v>
      </c>
      <c r="I18" s="232"/>
      <c r="J18" s="232"/>
      <c r="K18" s="232"/>
      <c r="L18" s="41"/>
    </row>
    <row r="19" spans="1:12" ht="11.25" customHeight="1" x14ac:dyDescent="0.2">
      <c r="A19" s="81" t="s">
        <v>79</v>
      </c>
      <c r="B19" s="906"/>
      <c r="C19" s="219" t="s">
        <v>81</v>
      </c>
      <c r="D19" s="166" t="str">
        <f>CONCATENATE("No ", B12)</f>
        <v>No Bimestre</v>
      </c>
      <c r="E19" s="235" t="s">
        <v>83</v>
      </c>
      <c r="F19" s="166" t="str">
        <f>CONCATENATE("Até o  ", B12)</f>
        <v>Até o  Bimestre</v>
      </c>
      <c r="G19" s="164" t="s">
        <v>83</v>
      </c>
      <c r="H19" s="164"/>
      <c r="I19" s="41"/>
      <c r="J19" s="233"/>
      <c r="K19" s="41"/>
      <c r="L19" s="41"/>
    </row>
    <row r="20" spans="1:12" ht="11.25" customHeight="1" x14ac:dyDescent="0.2">
      <c r="A20" s="68"/>
      <c r="B20" s="907"/>
      <c r="C20" s="214" t="s">
        <v>85</v>
      </c>
      <c r="D20" s="69" t="s">
        <v>86</v>
      </c>
      <c r="E20" s="234" t="s">
        <v>87</v>
      </c>
      <c r="F20" s="69" t="s">
        <v>106</v>
      </c>
      <c r="G20" s="69" t="s">
        <v>107</v>
      </c>
      <c r="H20" s="69" t="s">
        <v>108</v>
      </c>
      <c r="I20" s="41"/>
      <c r="J20" s="233"/>
      <c r="K20" s="41"/>
      <c r="L20" s="41"/>
    </row>
    <row r="21" spans="1:12" ht="12.75" x14ac:dyDescent="0.2">
      <c r="A21" s="591" t="s">
        <v>356</v>
      </c>
      <c r="B21" s="316">
        <f>B22+B62</f>
        <v>994132950</v>
      </c>
      <c r="C21" s="315">
        <f>C22+C62</f>
        <v>1036474911.45</v>
      </c>
      <c r="D21" s="314">
        <f>D22+D62</f>
        <v>224636634.74000001</v>
      </c>
      <c r="E21" s="312">
        <f t="shared" ref="E21:E52" si="0">IF(C21&gt;0,D21/C21,0)*100</f>
        <v>21.673137695705485</v>
      </c>
      <c r="F21" s="312">
        <f>F22+F62</f>
        <v>1292040549.9300003</v>
      </c>
      <c r="G21" s="312">
        <f t="shared" ref="G21:G52" si="1">IF(C21&gt;0,F21/C21,0)*100</f>
        <v>124.65719484926758</v>
      </c>
      <c r="H21" s="314">
        <f t="shared" ref="H21:H52" si="2">C21-F21</f>
        <v>-255565638.48000026</v>
      </c>
      <c r="I21" s="41"/>
      <c r="J21" s="77"/>
      <c r="K21" s="41"/>
      <c r="L21" s="41"/>
    </row>
    <row r="22" spans="1:12" ht="12.75" x14ac:dyDescent="0.2">
      <c r="A22" s="572" t="s">
        <v>10</v>
      </c>
      <c r="B22" s="316">
        <f>B23+B27+B32+B40+B41+B42+B48+B57</f>
        <v>993197950</v>
      </c>
      <c r="C22" s="316">
        <f>C23+C27+C32+C40+C41+C42+C48+C57</f>
        <v>1018616483.26</v>
      </c>
      <c r="D22" s="314">
        <f>D23+D27+D32+D40+D41+D42+D48+D57</f>
        <v>224486945.55000001</v>
      </c>
      <c r="E22" s="314">
        <f t="shared" si="0"/>
        <v>22.03841673870696</v>
      </c>
      <c r="F22" s="314">
        <f>F23+F27+F32+F40+F41+F42+F48+F57</f>
        <v>1288261992.6400003</v>
      </c>
      <c r="G22" s="314">
        <f t="shared" si="1"/>
        <v>126.47174022916079</v>
      </c>
      <c r="H22" s="314">
        <f t="shared" si="2"/>
        <v>-269645509.38000035</v>
      </c>
      <c r="I22" s="41"/>
      <c r="J22" s="77"/>
      <c r="K22" s="41"/>
      <c r="L22" s="41"/>
    </row>
    <row r="23" spans="1:12" ht="12.75" x14ac:dyDescent="0.2">
      <c r="A23" s="572" t="s">
        <v>786</v>
      </c>
      <c r="B23" s="316">
        <f>SUM(B24:B26)</f>
        <v>281094500</v>
      </c>
      <c r="C23" s="316">
        <f>SUM(C24:C26)</f>
        <v>282536009.31999999</v>
      </c>
      <c r="D23" s="314">
        <f>SUM(D24:D26)</f>
        <v>60549358.839999996</v>
      </c>
      <c r="E23" s="314">
        <f t="shared" si="0"/>
        <v>21.430669664276973</v>
      </c>
      <c r="F23" s="314">
        <f>SUM(F24:F26)</f>
        <v>334009301.17000002</v>
      </c>
      <c r="G23" s="314">
        <f t="shared" si="1"/>
        <v>118.21831205653557</v>
      </c>
      <c r="H23" s="314">
        <f t="shared" si="2"/>
        <v>-51473291.850000024</v>
      </c>
      <c r="I23" s="41"/>
      <c r="J23" s="77"/>
      <c r="K23" s="41"/>
      <c r="L23" s="41"/>
    </row>
    <row r="24" spans="1:12" ht="12.75" x14ac:dyDescent="0.2">
      <c r="A24" s="572" t="s">
        <v>11</v>
      </c>
      <c r="B24" s="316">
        <v>251018500</v>
      </c>
      <c r="C24" s="316">
        <v>252066009.31999999</v>
      </c>
      <c r="D24" s="314">
        <v>55606930.950000003</v>
      </c>
      <c r="E24" s="314">
        <f t="shared" si="0"/>
        <v>22.060463884048133</v>
      </c>
      <c r="F24" s="314">
        <v>299031952.75</v>
      </c>
      <c r="G24" s="314">
        <f t="shared" si="1"/>
        <v>118.63239853588365</v>
      </c>
      <c r="H24" s="314">
        <f t="shared" si="2"/>
        <v>-46965943.430000007</v>
      </c>
      <c r="I24" s="41"/>
      <c r="J24" s="77"/>
      <c r="K24" s="41"/>
      <c r="L24" s="41"/>
    </row>
    <row r="25" spans="1:12" ht="12.75" x14ac:dyDescent="0.2">
      <c r="A25" s="572" t="s">
        <v>12</v>
      </c>
      <c r="B25" s="316">
        <v>29958000</v>
      </c>
      <c r="C25" s="316">
        <v>30352000</v>
      </c>
      <c r="D25" s="314">
        <v>4900928.0199999996</v>
      </c>
      <c r="E25" s="314">
        <f t="shared" si="0"/>
        <v>16.146968964153928</v>
      </c>
      <c r="F25" s="314">
        <v>34656965.369999997</v>
      </c>
      <c r="G25" s="314">
        <f t="shared" si="1"/>
        <v>114.18346524117027</v>
      </c>
      <c r="H25" s="314">
        <f t="shared" si="2"/>
        <v>-4304965.3699999973</v>
      </c>
      <c r="I25" s="41"/>
      <c r="J25" s="77"/>
      <c r="K25" s="41"/>
      <c r="L25" s="41"/>
    </row>
    <row r="26" spans="1:12" ht="12.75" x14ac:dyDescent="0.2">
      <c r="A26" s="572" t="s">
        <v>13</v>
      </c>
      <c r="B26" s="316">
        <v>118000</v>
      </c>
      <c r="C26" s="316">
        <v>118000</v>
      </c>
      <c r="D26" s="314">
        <v>41499.870000000003</v>
      </c>
      <c r="E26" s="314">
        <f t="shared" si="0"/>
        <v>35.169381355932202</v>
      </c>
      <c r="F26" s="314">
        <v>320383.05</v>
      </c>
      <c r="G26" s="314">
        <f t="shared" si="1"/>
        <v>271.51105932203387</v>
      </c>
      <c r="H26" s="314">
        <f t="shared" si="2"/>
        <v>-202383.05</v>
      </c>
      <c r="I26" s="41"/>
      <c r="J26" s="77"/>
      <c r="K26" s="41"/>
      <c r="L26" s="41"/>
    </row>
    <row r="27" spans="1:12" ht="12.75" x14ac:dyDescent="0.2">
      <c r="A27" s="572" t="s">
        <v>787</v>
      </c>
      <c r="B27" s="316">
        <f>SUM(B28:B31)</f>
        <v>58798350</v>
      </c>
      <c r="C27" s="316">
        <f>SUM(C28:C31)</f>
        <v>58798350</v>
      </c>
      <c r="D27" s="314">
        <f>SUM(D28:D31)</f>
        <v>10914460.030000001</v>
      </c>
      <c r="E27" s="314">
        <f t="shared" si="0"/>
        <v>18.562527740999538</v>
      </c>
      <c r="F27" s="314">
        <f>SUM(F28:F31)</f>
        <v>62610100.729999997</v>
      </c>
      <c r="G27" s="314">
        <f t="shared" si="1"/>
        <v>106.48275118264372</v>
      </c>
      <c r="H27" s="314">
        <f t="shared" si="2"/>
        <v>-3811750.7299999967</v>
      </c>
      <c r="I27" s="41"/>
      <c r="J27" s="77"/>
      <c r="K27" s="41"/>
      <c r="L27" s="41"/>
    </row>
    <row r="28" spans="1:12" ht="12.75" x14ac:dyDescent="0.2">
      <c r="A28" s="572" t="s">
        <v>14</v>
      </c>
      <c r="B28" s="316">
        <v>34198350</v>
      </c>
      <c r="C28" s="316">
        <v>34198350</v>
      </c>
      <c r="D28" s="314">
        <v>6980523.9500000002</v>
      </c>
      <c r="E28" s="314">
        <f t="shared" si="0"/>
        <v>20.411873526061932</v>
      </c>
      <c r="F28" s="314">
        <v>38627259.189999998</v>
      </c>
      <c r="G28" s="314">
        <f t="shared" si="1"/>
        <v>112.95065168348766</v>
      </c>
      <c r="H28" s="314">
        <f t="shared" si="2"/>
        <v>-4428909.1899999976</v>
      </c>
      <c r="I28" s="41"/>
      <c r="J28" s="77"/>
      <c r="K28" s="41"/>
      <c r="L28" s="41"/>
    </row>
    <row r="29" spans="1:12" ht="12.75" x14ac:dyDescent="0.2">
      <c r="A29" s="572" t="s">
        <v>788</v>
      </c>
      <c r="B29" s="316"/>
      <c r="C29" s="316"/>
      <c r="D29" s="314"/>
      <c r="E29" s="314">
        <f t="shared" si="0"/>
        <v>0</v>
      </c>
      <c r="F29" s="314"/>
      <c r="G29" s="314">
        <f t="shared" si="1"/>
        <v>0</v>
      </c>
      <c r="H29" s="314">
        <f t="shared" si="2"/>
        <v>0</v>
      </c>
      <c r="I29" s="41"/>
      <c r="J29" s="77"/>
      <c r="K29" s="41"/>
      <c r="L29" s="41"/>
    </row>
    <row r="30" spans="1:12" ht="25.5" x14ac:dyDescent="0.2">
      <c r="A30" s="592" t="s">
        <v>811</v>
      </c>
      <c r="B30" s="316"/>
      <c r="C30" s="316"/>
      <c r="D30" s="314"/>
      <c r="E30" s="314">
        <f t="shared" si="0"/>
        <v>0</v>
      </c>
      <c r="F30" s="314"/>
      <c r="G30" s="314">
        <f t="shared" si="1"/>
        <v>0</v>
      </c>
      <c r="H30" s="314">
        <f t="shared" si="2"/>
        <v>0</v>
      </c>
      <c r="I30" s="41"/>
      <c r="J30" s="77"/>
      <c r="K30" s="41"/>
      <c r="L30" s="41"/>
    </row>
    <row r="31" spans="1:12" ht="25.5" x14ac:dyDescent="0.2">
      <c r="A31" s="592" t="s">
        <v>812</v>
      </c>
      <c r="B31" s="316">
        <v>24600000</v>
      </c>
      <c r="C31" s="316">
        <v>24600000</v>
      </c>
      <c r="D31" s="314">
        <v>3933936.08</v>
      </c>
      <c r="E31" s="314">
        <f t="shared" si="0"/>
        <v>15.991610081300815</v>
      </c>
      <c r="F31" s="314">
        <v>23982841.539999999</v>
      </c>
      <c r="G31" s="314">
        <f t="shared" si="1"/>
        <v>97.491225772357708</v>
      </c>
      <c r="H31" s="314">
        <f t="shared" si="2"/>
        <v>617158.46000000089</v>
      </c>
      <c r="I31" s="41"/>
      <c r="J31" s="77"/>
      <c r="K31" s="41"/>
      <c r="L31" s="41"/>
    </row>
    <row r="32" spans="1:12" ht="12.75" x14ac:dyDescent="0.2">
      <c r="A32" s="572" t="s">
        <v>15</v>
      </c>
      <c r="B32" s="316">
        <f>SUM(B33:B39)</f>
        <v>25122740</v>
      </c>
      <c r="C32" s="316">
        <f>SUM(C33:C39)</f>
        <v>26096598.370000001</v>
      </c>
      <c r="D32" s="314">
        <f>SUM(D33:D39)</f>
        <v>21704748.48</v>
      </c>
      <c r="E32" s="314">
        <f t="shared" si="0"/>
        <v>83.170795566027635</v>
      </c>
      <c r="F32" s="314">
        <f>SUM(F33:F39)</f>
        <v>206914597.53</v>
      </c>
      <c r="G32" s="314">
        <f t="shared" si="1"/>
        <v>792.87957225821378</v>
      </c>
      <c r="H32" s="314">
        <f t="shared" si="2"/>
        <v>-180817999.16</v>
      </c>
      <c r="I32" s="41"/>
      <c r="J32" s="77"/>
      <c r="K32" s="41"/>
      <c r="L32" s="41"/>
    </row>
    <row r="33" spans="1:12" ht="12.75" x14ac:dyDescent="0.2">
      <c r="A33" s="572" t="s">
        <v>789</v>
      </c>
      <c r="B33" s="316">
        <v>546000</v>
      </c>
      <c r="C33" s="316">
        <v>546000</v>
      </c>
      <c r="D33" s="314">
        <v>163671.89000000001</v>
      </c>
      <c r="E33" s="314">
        <f t="shared" si="0"/>
        <v>29.976536630036634</v>
      </c>
      <c r="F33" s="314">
        <v>819917.06</v>
      </c>
      <c r="G33" s="314">
        <f t="shared" si="1"/>
        <v>150.16795970695972</v>
      </c>
      <c r="H33" s="314">
        <f t="shared" si="2"/>
        <v>-273917.06000000006</v>
      </c>
      <c r="I33" s="41"/>
      <c r="J33" s="77"/>
      <c r="K33" s="41"/>
      <c r="L33" s="41"/>
    </row>
    <row r="34" spans="1:12" ht="12.75" x14ac:dyDescent="0.2">
      <c r="A34" s="572" t="s">
        <v>790</v>
      </c>
      <c r="B34" s="316">
        <v>24003740</v>
      </c>
      <c r="C34" s="316">
        <v>24977598.370000001</v>
      </c>
      <c r="D34" s="314">
        <v>21428565.390000001</v>
      </c>
      <c r="E34" s="314">
        <f t="shared" si="0"/>
        <v>85.791136011448316</v>
      </c>
      <c r="F34" s="314">
        <v>205434136.34999999</v>
      </c>
      <c r="G34" s="314">
        <f t="shared" si="1"/>
        <v>822.47353531291481</v>
      </c>
      <c r="H34" s="314">
        <f t="shared" si="2"/>
        <v>-180456537.97999999</v>
      </c>
      <c r="I34" s="41"/>
      <c r="J34" s="77"/>
      <c r="K34" s="41"/>
      <c r="L34" s="41"/>
    </row>
    <row r="35" spans="1:12" ht="25.5" x14ac:dyDescent="0.2">
      <c r="A35" s="592" t="s">
        <v>813</v>
      </c>
      <c r="B35" s="316">
        <v>465000</v>
      </c>
      <c r="C35" s="316">
        <v>465000</v>
      </c>
      <c r="D35" s="314">
        <v>89991.41</v>
      </c>
      <c r="E35" s="314">
        <f t="shared" si="0"/>
        <v>19.352991397849465</v>
      </c>
      <c r="F35" s="314">
        <v>550752.81000000006</v>
      </c>
      <c r="G35" s="314">
        <f t="shared" si="1"/>
        <v>118.44146451612905</v>
      </c>
      <c r="H35" s="314">
        <f t="shared" si="2"/>
        <v>-85752.810000000056</v>
      </c>
      <c r="I35" s="41"/>
      <c r="J35" s="77"/>
      <c r="K35" s="41"/>
      <c r="L35" s="41"/>
    </row>
    <row r="36" spans="1:12" ht="12.75" x14ac:dyDescent="0.2">
      <c r="A36" s="572" t="s">
        <v>791</v>
      </c>
      <c r="B36" s="316"/>
      <c r="C36" s="316"/>
      <c r="D36" s="314"/>
      <c r="E36" s="314">
        <f t="shared" si="0"/>
        <v>0</v>
      </c>
      <c r="F36" s="314"/>
      <c r="G36" s="314">
        <f t="shared" si="1"/>
        <v>0</v>
      </c>
      <c r="H36" s="314">
        <f t="shared" si="2"/>
        <v>0</v>
      </c>
      <c r="I36" s="41"/>
      <c r="J36" s="77"/>
      <c r="K36" s="41"/>
      <c r="L36" s="41"/>
    </row>
    <row r="37" spans="1:12" ht="12.75" x14ac:dyDescent="0.2">
      <c r="A37" s="572" t="s">
        <v>792</v>
      </c>
      <c r="B37" s="316"/>
      <c r="C37" s="316"/>
      <c r="D37" s="314"/>
      <c r="E37" s="314">
        <f t="shared" si="0"/>
        <v>0</v>
      </c>
      <c r="F37" s="314"/>
      <c r="G37" s="314">
        <f t="shared" si="1"/>
        <v>0</v>
      </c>
      <c r="H37" s="314">
        <f t="shared" si="2"/>
        <v>0</v>
      </c>
      <c r="I37" s="41"/>
      <c r="J37" s="77"/>
      <c r="K37" s="41"/>
      <c r="L37" s="41"/>
    </row>
    <row r="38" spans="1:12" ht="12.75" x14ac:dyDescent="0.2">
      <c r="A38" s="592" t="s">
        <v>793</v>
      </c>
      <c r="B38" s="316">
        <v>108000</v>
      </c>
      <c r="C38" s="316">
        <v>108000</v>
      </c>
      <c r="D38" s="314">
        <v>22519.79</v>
      </c>
      <c r="E38" s="314">
        <f t="shared" si="0"/>
        <v>20.851657407407409</v>
      </c>
      <c r="F38" s="314">
        <v>109791.31</v>
      </c>
      <c r="G38" s="314">
        <f t="shared" si="1"/>
        <v>101.65862037037037</v>
      </c>
      <c r="H38" s="314">
        <f t="shared" si="2"/>
        <v>-1791.3099999999977</v>
      </c>
      <c r="I38" s="41"/>
      <c r="J38" s="77"/>
      <c r="K38" s="41"/>
      <c r="L38" s="41"/>
    </row>
    <row r="39" spans="1:12" ht="12.75" x14ac:dyDescent="0.2">
      <c r="A39" s="572" t="s">
        <v>794</v>
      </c>
      <c r="B39" s="316"/>
      <c r="C39" s="316"/>
      <c r="D39" s="314"/>
      <c r="E39" s="314">
        <f t="shared" si="0"/>
        <v>0</v>
      </c>
      <c r="F39" s="314"/>
      <c r="G39" s="314">
        <f t="shared" si="1"/>
        <v>0</v>
      </c>
      <c r="H39" s="314">
        <f t="shared" si="2"/>
        <v>0</v>
      </c>
      <c r="I39" s="41"/>
      <c r="J39" s="77"/>
      <c r="K39" s="41"/>
      <c r="L39" s="41"/>
    </row>
    <row r="40" spans="1:12" ht="12.75" x14ac:dyDescent="0.2">
      <c r="A40" s="572" t="s">
        <v>19</v>
      </c>
      <c r="B40" s="316"/>
      <c r="C40" s="316"/>
      <c r="D40" s="314"/>
      <c r="E40" s="314">
        <f t="shared" si="0"/>
        <v>0</v>
      </c>
      <c r="F40" s="314"/>
      <c r="G40" s="314">
        <f t="shared" si="1"/>
        <v>0</v>
      </c>
      <c r="H40" s="314">
        <f t="shared" si="2"/>
        <v>0</v>
      </c>
      <c r="I40" s="41"/>
      <c r="J40" s="77"/>
      <c r="K40" s="41"/>
      <c r="L40" s="41"/>
    </row>
    <row r="41" spans="1:12" ht="12.75" x14ac:dyDescent="0.2">
      <c r="A41" s="572" t="s">
        <v>20</v>
      </c>
      <c r="B41" s="316"/>
      <c r="C41" s="316"/>
      <c r="D41" s="314"/>
      <c r="E41" s="314">
        <f t="shared" si="0"/>
        <v>0</v>
      </c>
      <c r="F41" s="314"/>
      <c r="G41" s="314">
        <f t="shared" si="1"/>
        <v>0</v>
      </c>
      <c r="H41" s="314">
        <f t="shared" si="2"/>
        <v>0</v>
      </c>
      <c r="I41" s="41"/>
      <c r="J41" s="77"/>
      <c r="K41" s="41"/>
      <c r="L41" s="41"/>
    </row>
    <row r="42" spans="1:12" ht="12.75" x14ac:dyDescent="0.2">
      <c r="A42" s="572" t="s">
        <v>21</v>
      </c>
      <c r="B42" s="316">
        <f>SUM(B43:B47)</f>
        <v>114422000</v>
      </c>
      <c r="C42" s="316">
        <f>SUM(C43:C47)</f>
        <v>118347806.31</v>
      </c>
      <c r="D42" s="314">
        <f>SUM(D43:D47)</f>
        <v>22979245.389999997</v>
      </c>
      <c r="E42" s="314">
        <f t="shared" si="0"/>
        <v>19.41670581523768</v>
      </c>
      <c r="F42" s="314">
        <f>SUM(F43:F47)</f>
        <v>123496388.13</v>
      </c>
      <c r="G42" s="314">
        <f t="shared" si="1"/>
        <v>104.35038213257101</v>
      </c>
      <c r="H42" s="314">
        <f t="shared" si="2"/>
        <v>-5148581.8199999928</v>
      </c>
      <c r="I42" s="41"/>
      <c r="J42" s="77"/>
      <c r="K42" s="41"/>
      <c r="L42" s="41"/>
    </row>
    <row r="43" spans="1:12" ht="12.75" x14ac:dyDescent="0.2">
      <c r="A43" s="592" t="s">
        <v>795</v>
      </c>
      <c r="B43" s="316">
        <v>112860000</v>
      </c>
      <c r="C43" s="316">
        <v>116785806.31</v>
      </c>
      <c r="D43" s="314">
        <v>22613832.609999999</v>
      </c>
      <c r="E43" s="314">
        <f t="shared" si="0"/>
        <v>19.363511135910741</v>
      </c>
      <c r="F43" s="314">
        <v>121307708.31999999</v>
      </c>
      <c r="G43" s="314">
        <f t="shared" si="1"/>
        <v>103.8719619728419</v>
      </c>
      <c r="H43" s="314">
        <f t="shared" si="2"/>
        <v>-4521902.0099999905</v>
      </c>
      <c r="I43" s="41"/>
      <c r="J43" s="77"/>
      <c r="K43" s="41"/>
      <c r="L43" s="41"/>
    </row>
    <row r="44" spans="1:12" ht="25.5" x14ac:dyDescent="0.2">
      <c r="A44" s="592" t="s">
        <v>814</v>
      </c>
      <c r="B44" s="316">
        <v>544000</v>
      </c>
      <c r="C44" s="316">
        <v>544000</v>
      </c>
      <c r="D44" s="314">
        <v>72486.06</v>
      </c>
      <c r="E44" s="314">
        <f t="shared" si="0"/>
        <v>13.32464338235294</v>
      </c>
      <c r="F44" s="314">
        <v>511833.59</v>
      </c>
      <c r="G44" s="314">
        <f t="shared" si="1"/>
        <v>94.087056985294126</v>
      </c>
      <c r="H44" s="314">
        <f t="shared" si="2"/>
        <v>32166.409999999974</v>
      </c>
      <c r="I44" s="41"/>
      <c r="J44" s="77"/>
      <c r="K44" s="41"/>
      <c r="L44" s="41"/>
    </row>
    <row r="45" spans="1:12" ht="12.75" x14ac:dyDescent="0.2">
      <c r="A45" s="572" t="s">
        <v>796</v>
      </c>
      <c r="B45" s="316"/>
      <c r="C45" s="316"/>
      <c r="D45" s="314"/>
      <c r="E45" s="314">
        <f t="shared" si="0"/>
        <v>0</v>
      </c>
      <c r="F45" s="314"/>
      <c r="G45" s="314">
        <f t="shared" si="1"/>
        <v>0</v>
      </c>
      <c r="H45" s="314">
        <f t="shared" si="2"/>
        <v>0</v>
      </c>
      <c r="I45" s="41"/>
      <c r="J45" s="77"/>
      <c r="K45" s="41"/>
      <c r="L45" s="41"/>
    </row>
    <row r="46" spans="1:12" ht="12.75" x14ac:dyDescent="0.2">
      <c r="A46" s="592" t="s">
        <v>797</v>
      </c>
      <c r="B46" s="316"/>
      <c r="C46" s="316"/>
      <c r="D46" s="314"/>
      <c r="E46" s="314">
        <f t="shared" si="0"/>
        <v>0</v>
      </c>
      <c r="F46" s="314"/>
      <c r="G46" s="314">
        <f t="shared" si="1"/>
        <v>0</v>
      </c>
      <c r="H46" s="314">
        <f t="shared" si="2"/>
        <v>0</v>
      </c>
      <c r="I46" s="41"/>
      <c r="J46" s="77"/>
      <c r="K46" s="41"/>
      <c r="L46" s="41"/>
    </row>
    <row r="47" spans="1:12" ht="12.75" x14ac:dyDescent="0.2">
      <c r="A47" s="572" t="s">
        <v>798</v>
      </c>
      <c r="B47" s="316">
        <v>1018000</v>
      </c>
      <c r="C47" s="316">
        <v>1018000</v>
      </c>
      <c r="D47" s="314">
        <v>292926.71999999997</v>
      </c>
      <c r="E47" s="314">
        <f t="shared" si="0"/>
        <v>28.774726915520628</v>
      </c>
      <c r="F47" s="314">
        <v>1676846.22</v>
      </c>
      <c r="G47" s="314">
        <f t="shared" si="1"/>
        <v>164.71966797642438</v>
      </c>
      <c r="H47" s="314">
        <f t="shared" si="2"/>
        <v>-658846.22</v>
      </c>
      <c r="I47" s="41"/>
      <c r="J47" s="77"/>
      <c r="K47" s="41"/>
      <c r="L47" s="41"/>
    </row>
    <row r="48" spans="1:12" ht="12.75" x14ac:dyDescent="0.2">
      <c r="A48" s="572" t="s">
        <v>22</v>
      </c>
      <c r="B48" s="316">
        <f>SUM(B49:B56)</f>
        <v>502614460</v>
      </c>
      <c r="C48" s="316">
        <f>SUM(C49:C56)</f>
        <v>521691819.25999999</v>
      </c>
      <c r="D48" s="314">
        <f>SUM(D49:D56)</f>
        <v>105015433.02000001</v>
      </c>
      <c r="E48" s="314">
        <f t="shared" si="0"/>
        <v>20.129783359256123</v>
      </c>
      <c r="F48" s="314">
        <f>SUM(F49:F56)</f>
        <v>543164005.18000007</v>
      </c>
      <c r="G48" s="314">
        <f t="shared" si="1"/>
        <v>104.11587552790411</v>
      </c>
      <c r="H48" s="314">
        <f t="shared" si="2"/>
        <v>-21472185.920000076</v>
      </c>
      <c r="I48" s="41"/>
      <c r="J48" s="77"/>
      <c r="K48" s="41"/>
      <c r="L48" s="41"/>
    </row>
    <row r="49" spans="1:12" ht="12.75" x14ac:dyDescent="0.2">
      <c r="A49" s="572" t="s">
        <v>799</v>
      </c>
      <c r="B49" s="316">
        <v>136433800</v>
      </c>
      <c r="C49" s="316">
        <v>144026348.06</v>
      </c>
      <c r="D49" s="314">
        <v>34069991.590000004</v>
      </c>
      <c r="E49" s="314">
        <f t="shared" si="0"/>
        <v>23.6553880931611</v>
      </c>
      <c r="F49" s="314">
        <v>151848862.72</v>
      </c>
      <c r="G49" s="314">
        <f t="shared" si="1"/>
        <v>105.43130806645269</v>
      </c>
      <c r="H49" s="314">
        <f t="shared" si="2"/>
        <v>-7822514.6599999964</v>
      </c>
      <c r="I49" s="41"/>
      <c r="J49" s="77"/>
      <c r="K49" s="41"/>
      <c r="L49" s="41"/>
    </row>
    <row r="50" spans="1:12" ht="25.5" x14ac:dyDescent="0.2">
      <c r="A50" s="592" t="s">
        <v>815</v>
      </c>
      <c r="B50" s="316">
        <v>255089160</v>
      </c>
      <c r="C50" s="316">
        <v>256206384.30000001</v>
      </c>
      <c r="D50" s="314">
        <v>47155700.270000003</v>
      </c>
      <c r="E50" s="314">
        <f t="shared" si="0"/>
        <v>18.405357227470152</v>
      </c>
      <c r="F50" s="314">
        <v>269430342.5</v>
      </c>
      <c r="G50" s="314">
        <f t="shared" si="1"/>
        <v>105.16144757131252</v>
      </c>
      <c r="H50" s="314">
        <f t="shared" si="2"/>
        <v>-13223958.199999988</v>
      </c>
      <c r="I50" s="41"/>
      <c r="J50" s="77"/>
      <c r="K50" s="41"/>
      <c r="L50" s="41"/>
    </row>
    <row r="51" spans="1:12" ht="12.75" x14ac:dyDescent="0.2">
      <c r="A51" s="572" t="s">
        <v>800</v>
      </c>
      <c r="B51" s="316">
        <v>0</v>
      </c>
      <c r="C51" s="316">
        <v>195000</v>
      </c>
      <c r="D51" s="314">
        <v>79795.5</v>
      </c>
      <c r="E51" s="314">
        <f t="shared" si="0"/>
        <v>40.920769230769231</v>
      </c>
      <c r="F51" s="314">
        <v>79795.5</v>
      </c>
      <c r="G51" s="314">
        <f t="shared" si="1"/>
        <v>40.920769230769231</v>
      </c>
      <c r="H51" s="314">
        <f t="shared" si="2"/>
        <v>115204.5</v>
      </c>
      <c r="I51" s="41"/>
      <c r="J51" s="77"/>
      <c r="K51" s="41"/>
      <c r="L51" s="41"/>
    </row>
    <row r="52" spans="1:12" ht="12.75" x14ac:dyDescent="0.2">
      <c r="A52" s="572" t="s">
        <v>23</v>
      </c>
      <c r="B52" s="316">
        <v>1091500</v>
      </c>
      <c r="C52" s="316">
        <v>1091500</v>
      </c>
      <c r="D52" s="314">
        <v>1293420.1299999999</v>
      </c>
      <c r="E52" s="314">
        <f t="shared" si="0"/>
        <v>118.49932478240952</v>
      </c>
      <c r="F52" s="314">
        <v>1903892.03</v>
      </c>
      <c r="G52" s="314">
        <f t="shared" si="1"/>
        <v>174.42895373339442</v>
      </c>
      <c r="H52" s="314">
        <f t="shared" si="2"/>
        <v>-812392.03</v>
      </c>
      <c r="I52" s="41"/>
      <c r="J52" s="77"/>
      <c r="K52" s="41"/>
      <c r="L52" s="41"/>
    </row>
    <row r="53" spans="1:12" ht="12.75" x14ac:dyDescent="0.2">
      <c r="A53" s="572" t="s">
        <v>33</v>
      </c>
      <c r="B53" s="316">
        <v>110000000</v>
      </c>
      <c r="C53" s="316">
        <v>120172586.90000001</v>
      </c>
      <c r="D53" s="314">
        <v>22416525.530000001</v>
      </c>
      <c r="E53" s="314">
        <f t="shared" ref="E53:E84" si="3">IF(C53&gt;0,D53/C53,0)*100</f>
        <v>18.653609869157272</v>
      </c>
      <c r="F53" s="314">
        <v>119901112.43000001</v>
      </c>
      <c r="G53" s="314">
        <f t="shared" ref="G53:G84" si="4">IF(C53&gt;0,F53/C53,0)*100</f>
        <v>99.774096175339963</v>
      </c>
      <c r="H53" s="314">
        <f t="shared" ref="H53:H84" si="5">C53-F53</f>
        <v>271474.46999999881</v>
      </c>
      <c r="I53" s="41"/>
      <c r="J53" s="77"/>
      <c r="K53" s="41"/>
      <c r="L53" s="41"/>
    </row>
    <row r="54" spans="1:12" ht="12.75" x14ac:dyDescent="0.2">
      <c r="A54" s="572" t="s">
        <v>24</v>
      </c>
      <c r="B54" s="316"/>
      <c r="C54" s="316"/>
      <c r="D54" s="314"/>
      <c r="E54" s="314">
        <f t="shared" si="3"/>
        <v>0</v>
      </c>
      <c r="F54" s="314"/>
      <c r="G54" s="314">
        <f t="shared" si="4"/>
        <v>0</v>
      </c>
      <c r="H54" s="314">
        <f t="shared" si="5"/>
        <v>0</v>
      </c>
      <c r="I54" s="41"/>
      <c r="J54" s="77"/>
      <c r="K54" s="41"/>
      <c r="L54" s="41"/>
    </row>
    <row r="55" spans="1:12" ht="12.75" x14ac:dyDescent="0.2">
      <c r="A55" s="593" t="s">
        <v>801</v>
      </c>
      <c r="B55" s="316"/>
      <c r="C55" s="316"/>
      <c r="D55" s="314"/>
      <c r="E55" s="314">
        <f t="shared" si="3"/>
        <v>0</v>
      </c>
      <c r="F55" s="314"/>
      <c r="G55" s="314">
        <f t="shared" si="4"/>
        <v>0</v>
      </c>
      <c r="H55" s="314">
        <f t="shared" si="5"/>
        <v>0</v>
      </c>
      <c r="I55" s="41"/>
      <c r="J55" s="77"/>
      <c r="K55" s="41"/>
      <c r="L55" s="41"/>
    </row>
    <row r="56" spans="1:12" ht="25.5" x14ac:dyDescent="0.2">
      <c r="A56" s="594" t="s">
        <v>816</v>
      </c>
      <c r="B56" s="316"/>
      <c r="C56" s="316"/>
      <c r="D56" s="314"/>
      <c r="E56" s="314">
        <f t="shared" si="3"/>
        <v>0</v>
      </c>
      <c r="F56" s="314"/>
      <c r="G56" s="314">
        <f t="shared" si="4"/>
        <v>0</v>
      </c>
      <c r="H56" s="314">
        <f t="shared" si="5"/>
        <v>0</v>
      </c>
      <c r="I56" s="41"/>
      <c r="J56" s="77"/>
      <c r="K56" s="41"/>
      <c r="L56" s="41"/>
    </row>
    <row r="57" spans="1:12" ht="12.75" x14ac:dyDescent="0.2">
      <c r="A57" s="572" t="s">
        <v>25</v>
      </c>
      <c r="B57" s="316">
        <f>SUM(B58:B61)</f>
        <v>11145900</v>
      </c>
      <c r="C57" s="316">
        <f>SUM(C58:C61)</f>
        <v>11145900</v>
      </c>
      <c r="D57" s="314">
        <f>SUM(D58:D61)</f>
        <v>3323699.79</v>
      </c>
      <c r="E57" s="314">
        <f t="shared" si="3"/>
        <v>29.819931903211046</v>
      </c>
      <c r="F57" s="314">
        <f>SUM(F58:F61)</f>
        <v>18067599.899999999</v>
      </c>
      <c r="G57" s="314">
        <f t="shared" si="4"/>
        <v>162.10086130325948</v>
      </c>
      <c r="H57" s="314">
        <f t="shared" si="5"/>
        <v>-6921699.8999999985</v>
      </c>
      <c r="I57" s="41"/>
      <c r="J57" s="77"/>
      <c r="K57" s="41"/>
      <c r="L57" s="41"/>
    </row>
    <row r="58" spans="1:12" ht="12.75" x14ac:dyDescent="0.2">
      <c r="A58" s="572" t="s">
        <v>802</v>
      </c>
      <c r="B58" s="316">
        <v>5468100</v>
      </c>
      <c r="C58" s="316">
        <v>5468100</v>
      </c>
      <c r="D58" s="314">
        <v>1845617.84</v>
      </c>
      <c r="E58" s="314">
        <f t="shared" si="3"/>
        <v>33.752452222892785</v>
      </c>
      <c r="F58" s="314">
        <v>8209750.9699999997</v>
      </c>
      <c r="G58" s="314">
        <f t="shared" si="4"/>
        <v>150.13900568753314</v>
      </c>
      <c r="H58" s="314">
        <f t="shared" si="5"/>
        <v>-2741650.9699999997</v>
      </c>
      <c r="I58" s="41"/>
      <c r="J58" s="77"/>
      <c r="K58" s="41"/>
      <c r="L58" s="41"/>
    </row>
    <row r="59" spans="1:12" ht="12.75" x14ac:dyDescent="0.2">
      <c r="A59" s="572" t="s">
        <v>803</v>
      </c>
      <c r="B59" s="316">
        <v>721600</v>
      </c>
      <c r="C59" s="316">
        <v>721600</v>
      </c>
      <c r="D59" s="314">
        <v>235073.29</v>
      </c>
      <c r="E59" s="314">
        <f t="shared" si="3"/>
        <v>32.576675443458981</v>
      </c>
      <c r="F59" s="314">
        <v>1172687.33</v>
      </c>
      <c r="G59" s="314">
        <f t="shared" si="4"/>
        <v>162.51210227272728</v>
      </c>
      <c r="H59" s="314">
        <f t="shared" si="5"/>
        <v>-451087.33000000007</v>
      </c>
      <c r="I59" s="41"/>
      <c r="J59" s="77"/>
      <c r="K59" s="41"/>
      <c r="L59" s="41"/>
    </row>
    <row r="60" spans="1:12" ht="25.5" x14ac:dyDescent="0.2">
      <c r="A60" s="592" t="s">
        <v>828</v>
      </c>
      <c r="B60" s="316"/>
      <c r="C60" s="316"/>
      <c r="D60" s="314"/>
      <c r="E60" s="314">
        <f t="shared" si="3"/>
        <v>0</v>
      </c>
      <c r="F60" s="314"/>
      <c r="G60" s="314">
        <f t="shared" si="4"/>
        <v>0</v>
      </c>
      <c r="H60" s="314">
        <f t="shared" si="5"/>
        <v>0</v>
      </c>
      <c r="I60" s="41"/>
      <c r="J60" s="77"/>
      <c r="K60" s="41"/>
      <c r="L60" s="41"/>
    </row>
    <row r="61" spans="1:12" ht="12.75" x14ac:dyDescent="0.2">
      <c r="A61" s="595" t="s">
        <v>99</v>
      </c>
      <c r="B61" s="316">
        <v>4956200</v>
      </c>
      <c r="C61" s="316">
        <v>4956200</v>
      </c>
      <c r="D61" s="314">
        <v>1243008.6599999999</v>
      </c>
      <c r="E61" s="314">
        <f t="shared" si="3"/>
        <v>25.07987288648561</v>
      </c>
      <c r="F61" s="314">
        <v>8685161.5999999996</v>
      </c>
      <c r="G61" s="314">
        <f t="shared" si="4"/>
        <v>175.23831968040028</v>
      </c>
      <c r="H61" s="314">
        <f t="shared" si="5"/>
        <v>-3728961.5999999996</v>
      </c>
      <c r="I61" s="41"/>
      <c r="J61" s="77"/>
      <c r="K61" s="41"/>
      <c r="L61" s="41"/>
    </row>
    <row r="62" spans="1:12" ht="12.75" x14ac:dyDescent="0.2">
      <c r="A62" s="572" t="s">
        <v>26</v>
      </c>
      <c r="B62" s="316">
        <f>B63+B66+B71+B80</f>
        <v>935000</v>
      </c>
      <c r="C62" s="316">
        <f>C63+C66+C71+C80</f>
        <v>17858428.190000001</v>
      </c>
      <c r="D62" s="314">
        <f>D63+D66+D71+D80</f>
        <v>149689.19</v>
      </c>
      <c r="E62" s="314">
        <f t="shared" si="3"/>
        <v>0.83819913156646053</v>
      </c>
      <c r="F62" s="314">
        <f>F63+F66+F71+F80</f>
        <v>3778557.29</v>
      </c>
      <c r="G62" s="314">
        <f t="shared" si="4"/>
        <v>21.158397871296643</v>
      </c>
      <c r="H62" s="314">
        <f t="shared" si="5"/>
        <v>14079870.900000002</v>
      </c>
      <c r="I62" s="41"/>
      <c r="J62" s="77"/>
      <c r="K62" s="41"/>
      <c r="L62" s="41"/>
    </row>
    <row r="63" spans="1:12" ht="12.75" x14ac:dyDescent="0.2">
      <c r="A63" s="572" t="s">
        <v>27</v>
      </c>
      <c r="B63" s="316">
        <f>SUM(B64:B65)</f>
        <v>0</v>
      </c>
      <c r="C63" s="316">
        <f>SUM(C64:C65)</f>
        <v>15282108.76</v>
      </c>
      <c r="D63" s="314">
        <f>SUM(D64:D65)</f>
        <v>0</v>
      </c>
      <c r="E63" s="314">
        <f t="shared" si="3"/>
        <v>0</v>
      </c>
      <c r="F63" s="314">
        <f>SUM(F64:F65)</f>
        <v>448485.81</v>
      </c>
      <c r="G63" s="314">
        <f t="shared" si="4"/>
        <v>2.9347115443510297</v>
      </c>
      <c r="H63" s="314">
        <f t="shared" si="5"/>
        <v>14833622.949999999</v>
      </c>
      <c r="I63" s="41"/>
      <c r="J63" s="77"/>
      <c r="K63" s="41"/>
      <c r="L63" s="41"/>
    </row>
    <row r="64" spans="1:12" ht="12.75" x14ac:dyDescent="0.2">
      <c r="A64" s="572" t="s">
        <v>804</v>
      </c>
      <c r="B64" s="316">
        <v>0</v>
      </c>
      <c r="C64" s="316">
        <v>15282108.76</v>
      </c>
      <c r="D64" s="314">
        <v>0</v>
      </c>
      <c r="E64" s="314">
        <f t="shared" si="3"/>
        <v>0</v>
      </c>
      <c r="F64" s="314">
        <v>448485.81</v>
      </c>
      <c r="G64" s="314">
        <f t="shared" si="4"/>
        <v>2.9347115443510297</v>
      </c>
      <c r="H64" s="314">
        <f t="shared" si="5"/>
        <v>14833622.949999999</v>
      </c>
      <c r="I64" s="41"/>
      <c r="J64" s="77"/>
      <c r="K64" s="41"/>
      <c r="L64" s="41"/>
    </row>
    <row r="65" spans="1:12" ht="12.75" x14ac:dyDescent="0.2">
      <c r="A65" s="572" t="s">
        <v>805</v>
      </c>
      <c r="B65" s="316"/>
      <c r="C65" s="316"/>
      <c r="D65" s="314"/>
      <c r="E65" s="314">
        <f t="shared" si="3"/>
        <v>0</v>
      </c>
      <c r="F65" s="314"/>
      <c r="G65" s="314">
        <f t="shared" si="4"/>
        <v>0</v>
      </c>
      <c r="H65" s="314">
        <f t="shared" si="5"/>
        <v>0</v>
      </c>
      <c r="I65" s="41"/>
      <c r="J65" s="77"/>
      <c r="K65" s="41"/>
      <c r="L65" s="41"/>
    </row>
    <row r="66" spans="1:12" ht="12.75" x14ac:dyDescent="0.2">
      <c r="A66" s="572" t="s">
        <v>28</v>
      </c>
      <c r="B66" s="316">
        <f>SUM(B67:B70)</f>
        <v>20000</v>
      </c>
      <c r="C66" s="316">
        <f>SUM(C67:C70)</f>
        <v>20000</v>
      </c>
      <c r="D66" s="314">
        <f>SUM(D67:D70)</f>
        <v>-27592.880000000001</v>
      </c>
      <c r="E66" s="314">
        <f t="shared" si="3"/>
        <v>-137.96440000000001</v>
      </c>
      <c r="F66" s="314">
        <f>SUM(F67:F70)</f>
        <v>1930939.54</v>
      </c>
      <c r="G66" s="314">
        <f t="shared" si="4"/>
        <v>9654.6977000000006</v>
      </c>
      <c r="H66" s="314">
        <f t="shared" si="5"/>
        <v>-1910939.54</v>
      </c>
      <c r="I66" s="41"/>
      <c r="J66" s="77"/>
      <c r="K66" s="41"/>
      <c r="L66" s="41"/>
    </row>
    <row r="67" spans="1:12" ht="12.75" x14ac:dyDescent="0.2">
      <c r="A67" s="572" t="s">
        <v>29</v>
      </c>
      <c r="B67" s="316"/>
      <c r="C67" s="316"/>
      <c r="D67" s="314"/>
      <c r="E67" s="314">
        <f t="shared" si="3"/>
        <v>0</v>
      </c>
      <c r="F67" s="314"/>
      <c r="G67" s="314">
        <f t="shared" si="4"/>
        <v>0</v>
      </c>
      <c r="H67" s="314">
        <f t="shared" si="5"/>
        <v>0</v>
      </c>
      <c r="I67" s="41"/>
      <c r="J67" s="77"/>
      <c r="K67" s="41"/>
      <c r="L67" s="41"/>
    </row>
    <row r="68" spans="1:12" ht="12.75" x14ac:dyDescent="0.2">
      <c r="A68" s="572" t="s">
        <v>30</v>
      </c>
      <c r="B68" s="316">
        <v>20000</v>
      </c>
      <c r="C68" s="316">
        <v>20000</v>
      </c>
      <c r="D68" s="314">
        <v>-27592.880000000001</v>
      </c>
      <c r="E68" s="314">
        <f t="shared" si="3"/>
        <v>-137.96440000000001</v>
      </c>
      <c r="F68" s="314">
        <v>1930939.54</v>
      </c>
      <c r="G68" s="314">
        <f t="shared" si="4"/>
        <v>9654.6977000000006</v>
      </c>
      <c r="H68" s="314">
        <f t="shared" si="5"/>
        <v>-1910939.54</v>
      </c>
      <c r="I68" s="41"/>
      <c r="J68" s="77"/>
      <c r="K68" s="41"/>
      <c r="L68" s="41"/>
    </row>
    <row r="69" spans="1:12" ht="12.75" x14ac:dyDescent="0.2">
      <c r="A69" s="596" t="s">
        <v>806</v>
      </c>
      <c r="B69" s="316"/>
      <c r="C69" s="316"/>
      <c r="D69" s="314"/>
      <c r="E69" s="314">
        <f t="shared" si="3"/>
        <v>0</v>
      </c>
      <c r="F69" s="314"/>
      <c r="G69" s="314">
        <f t="shared" si="4"/>
        <v>0</v>
      </c>
      <c r="H69" s="314">
        <f t="shared" si="5"/>
        <v>0</v>
      </c>
      <c r="I69" s="41"/>
      <c r="J69" s="77"/>
      <c r="K69" s="41"/>
      <c r="L69" s="41"/>
    </row>
    <row r="70" spans="1:12" ht="12.75" x14ac:dyDescent="0.2">
      <c r="A70" s="572" t="s">
        <v>31</v>
      </c>
      <c r="B70" s="316"/>
      <c r="C70" s="316"/>
      <c r="D70" s="314"/>
      <c r="E70" s="314">
        <f t="shared" si="3"/>
        <v>0</v>
      </c>
      <c r="F70" s="314"/>
      <c r="G70" s="314">
        <f t="shared" si="4"/>
        <v>0</v>
      </c>
      <c r="H70" s="314">
        <f t="shared" si="5"/>
        <v>0</v>
      </c>
      <c r="I70" s="41"/>
      <c r="J70" s="77"/>
      <c r="K70" s="41"/>
      <c r="L70" s="41"/>
    </row>
    <row r="71" spans="1:12" ht="12.75" x14ac:dyDescent="0.2">
      <c r="A71" s="572" t="s">
        <v>32</v>
      </c>
      <c r="B71" s="316">
        <f>SUM(B72:B79)</f>
        <v>915000</v>
      </c>
      <c r="C71" s="316">
        <f>SUM(C72:C79)</f>
        <v>2556319.4300000002</v>
      </c>
      <c r="D71" s="314">
        <f>SUM(D72:D79)</f>
        <v>177282.07</v>
      </c>
      <c r="E71" s="314">
        <f t="shared" si="3"/>
        <v>6.9350515400964579</v>
      </c>
      <c r="F71" s="314">
        <f>SUM(F72:F79)</f>
        <v>1399131.94</v>
      </c>
      <c r="G71" s="314">
        <f t="shared" si="4"/>
        <v>54.732281247027089</v>
      </c>
      <c r="H71" s="314">
        <f t="shared" si="5"/>
        <v>1157187.4900000002</v>
      </c>
      <c r="I71" s="41"/>
      <c r="J71" s="77"/>
      <c r="K71" s="41"/>
      <c r="L71" s="41"/>
    </row>
    <row r="72" spans="1:12" ht="12.75" x14ac:dyDescent="0.2">
      <c r="A72" s="572" t="s">
        <v>807</v>
      </c>
      <c r="B72" s="316">
        <v>0</v>
      </c>
      <c r="C72" s="316">
        <v>0</v>
      </c>
      <c r="D72" s="314">
        <v>177282.07</v>
      </c>
      <c r="E72" s="314">
        <f t="shared" si="3"/>
        <v>0</v>
      </c>
      <c r="F72" s="314">
        <v>483572.95</v>
      </c>
      <c r="G72" s="314">
        <f t="shared" si="4"/>
        <v>0</v>
      </c>
      <c r="H72" s="314">
        <f t="shared" si="5"/>
        <v>-483572.95</v>
      </c>
      <c r="I72" s="41"/>
      <c r="J72" s="77"/>
      <c r="K72" s="41"/>
      <c r="L72" s="41"/>
    </row>
    <row r="73" spans="1:12" ht="25.5" x14ac:dyDescent="0.2">
      <c r="A73" s="592" t="s">
        <v>815</v>
      </c>
      <c r="B73" s="316">
        <v>915000</v>
      </c>
      <c r="C73" s="316">
        <v>2543819.4300000002</v>
      </c>
      <c r="D73" s="314">
        <v>0</v>
      </c>
      <c r="E73" s="314">
        <f t="shared" si="3"/>
        <v>0</v>
      </c>
      <c r="F73" s="314">
        <v>915558.99</v>
      </c>
      <c r="G73" s="314">
        <f t="shared" si="4"/>
        <v>35.991508642576882</v>
      </c>
      <c r="H73" s="314">
        <f t="shared" si="5"/>
        <v>1628260.4400000002</v>
      </c>
      <c r="I73" s="41"/>
      <c r="J73" s="77"/>
      <c r="K73" s="41"/>
      <c r="L73" s="41"/>
    </row>
    <row r="74" spans="1:12" ht="12.75" x14ac:dyDescent="0.2">
      <c r="A74" s="572" t="s">
        <v>800</v>
      </c>
      <c r="B74" s="316">
        <v>0</v>
      </c>
      <c r="C74" s="316">
        <v>12500</v>
      </c>
      <c r="D74" s="314">
        <v>0</v>
      </c>
      <c r="E74" s="314">
        <f t="shared" si="3"/>
        <v>0</v>
      </c>
      <c r="F74" s="314">
        <v>0</v>
      </c>
      <c r="G74" s="314">
        <f t="shared" si="4"/>
        <v>0</v>
      </c>
      <c r="H74" s="314">
        <f t="shared" si="5"/>
        <v>12500</v>
      </c>
      <c r="I74" s="41"/>
      <c r="J74" s="77"/>
      <c r="K74" s="41"/>
      <c r="L74" s="41"/>
    </row>
    <row r="75" spans="1:12" ht="12.75" x14ac:dyDescent="0.2">
      <c r="A75" s="572" t="s">
        <v>23</v>
      </c>
      <c r="B75" s="316"/>
      <c r="C75" s="316"/>
      <c r="D75" s="314"/>
      <c r="E75" s="314">
        <f t="shared" si="3"/>
        <v>0</v>
      </c>
      <c r="F75" s="314"/>
      <c r="G75" s="314">
        <f t="shared" si="4"/>
        <v>0</v>
      </c>
      <c r="H75" s="314">
        <f t="shared" si="5"/>
        <v>0</v>
      </c>
      <c r="I75" s="41"/>
      <c r="J75" s="77"/>
      <c r="K75" s="41"/>
      <c r="L75" s="41"/>
    </row>
    <row r="76" spans="1:12" ht="12.75" x14ac:dyDescent="0.2">
      <c r="A76" s="572" t="s">
        <v>33</v>
      </c>
      <c r="B76" s="316"/>
      <c r="C76" s="316"/>
      <c r="D76" s="314"/>
      <c r="E76" s="314">
        <f t="shared" si="3"/>
        <v>0</v>
      </c>
      <c r="F76" s="314"/>
      <c r="G76" s="314">
        <f t="shared" si="4"/>
        <v>0</v>
      </c>
      <c r="H76" s="314">
        <f t="shared" si="5"/>
        <v>0</v>
      </c>
      <c r="I76" s="41"/>
      <c r="J76" s="77"/>
      <c r="K76" s="41"/>
      <c r="L76" s="41"/>
    </row>
    <row r="77" spans="1:12" ht="12.75" x14ac:dyDescent="0.2">
      <c r="A77" s="572" t="s">
        <v>24</v>
      </c>
      <c r="B77" s="316"/>
      <c r="C77" s="316"/>
      <c r="D77" s="314"/>
      <c r="E77" s="314">
        <f t="shared" si="3"/>
        <v>0</v>
      </c>
      <c r="F77" s="314"/>
      <c r="G77" s="314">
        <f t="shared" si="4"/>
        <v>0</v>
      </c>
      <c r="H77" s="314">
        <f t="shared" si="5"/>
        <v>0</v>
      </c>
      <c r="I77" s="41"/>
      <c r="J77" s="77"/>
      <c r="K77" s="41"/>
      <c r="L77" s="41"/>
    </row>
    <row r="78" spans="1:12" ht="12.75" x14ac:dyDescent="0.2">
      <c r="A78" s="572" t="s">
        <v>801</v>
      </c>
      <c r="B78" s="316"/>
      <c r="C78" s="316"/>
      <c r="D78" s="314"/>
      <c r="E78" s="314">
        <f t="shared" si="3"/>
        <v>0</v>
      </c>
      <c r="F78" s="314"/>
      <c r="G78" s="314">
        <f t="shared" si="4"/>
        <v>0</v>
      </c>
      <c r="H78" s="314">
        <f t="shared" si="5"/>
        <v>0</v>
      </c>
      <c r="I78" s="41"/>
      <c r="J78" s="77"/>
      <c r="K78" s="41"/>
      <c r="L78" s="41"/>
    </row>
    <row r="79" spans="1:12" ht="25.5" x14ac:dyDescent="0.2">
      <c r="A79" s="597" t="s">
        <v>817</v>
      </c>
      <c r="B79" s="316"/>
      <c r="C79" s="316"/>
      <c r="D79" s="314"/>
      <c r="E79" s="314">
        <f t="shared" si="3"/>
        <v>0</v>
      </c>
      <c r="F79" s="314"/>
      <c r="G79" s="314">
        <f t="shared" si="4"/>
        <v>0</v>
      </c>
      <c r="H79" s="314">
        <f t="shared" si="5"/>
        <v>0</v>
      </c>
      <c r="I79" s="41"/>
      <c r="J79" s="77"/>
      <c r="K79" s="41"/>
      <c r="L79" s="41"/>
    </row>
    <row r="80" spans="1:12" ht="12.75" x14ac:dyDescent="0.2">
      <c r="A80" s="572" t="s">
        <v>34</v>
      </c>
      <c r="B80" s="316">
        <f>SUM(B81:B84)</f>
        <v>0</v>
      </c>
      <c r="C80" s="316">
        <f>SUM(C81:C84)</f>
        <v>0</v>
      </c>
      <c r="D80" s="314">
        <f>SUM(D81:D84)</f>
        <v>0</v>
      </c>
      <c r="E80" s="314">
        <f t="shared" si="3"/>
        <v>0</v>
      </c>
      <c r="F80" s="314">
        <f>SUM(F81:F84)</f>
        <v>0</v>
      </c>
      <c r="G80" s="314">
        <f t="shared" si="4"/>
        <v>0</v>
      </c>
      <c r="H80" s="314">
        <f t="shared" si="5"/>
        <v>0</v>
      </c>
      <c r="I80" s="41"/>
      <c r="J80" s="77"/>
      <c r="K80" s="41"/>
      <c r="L80" s="41"/>
    </row>
    <row r="81" spans="1:12" ht="12.75" x14ac:dyDescent="0.2">
      <c r="A81" s="572" t="s">
        <v>35</v>
      </c>
      <c r="B81" s="316"/>
      <c r="C81" s="316"/>
      <c r="D81" s="314"/>
      <c r="E81" s="314">
        <f t="shared" si="3"/>
        <v>0</v>
      </c>
      <c r="F81" s="314"/>
      <c r="G81" s="314">
        <f t="shared" si="4"/>
        <v>0</v>
      </c>
      <c r="H81" s="314">
        <f t="shared" si="5"/>
        <v>0</v>
      </c>
      <c r="I81" s="41"/>
      <c r="J81" s="77"/>
      <c r="K81" s="41"/>
      <c r="L81" s="41"/>
    </row>
    <row r="82" spans="1:12" ht="12.75" x14ac:dyDescent="0.2">
      <c r="A82" s="592" t="s">
        <v>808</v>
      </c>
      <c r="B82" s="316"/>
      <c r="C82" s="316"/>
      <c r="D82" s="314"/>
      <c r="E82" s="314">
        <f t="shared" si="3"/>
        <v>0</v>
      </c>
      <c r="F82" s="314"/>
      <c r="G82" s="314">
        <f t="shared" si="4"/>
        <v>0</v>
      </c>
      <c r="H82" s="314">
        <f t="shared" si="5"/>
        <v>0</v>
      </c>
      <c r="I82" s="41"/>
      <c r="J82" s="77"/>
      <c r="K82" s="41"/>
      <c r="L82" s="41"/>
    </row>
    <row r="83" spans="1:12" ht="12.75" x14ac:dyDescent="0.2">
      <c r="A83" s="592" t="s">
        <v>809</v>
      </c>
      <c r="B83" s="316"/>
      <c r="C83" s="316"/>
      <c r="D83" s="314"/>
      <c r="E83" s="314">
        <f t="shared" si="3"/>
        <v>0</v>
      </c>
      <c r="F83" s="314"/>
      <c r="G83" s="314">
        <f t="shared" si="4"/>
        <v>0</v>
      </c>
      <c r="H83" s="314">
        <f t="shared" si="5"/>
        <v>0</v>
      </c>
      <c r="I83" s="41"/>
      <c r="J83" s="77"/>
      <c r="K83" s="41"/>
      <c r="L83" s="41"/>
    </row>
    <row r="84" spans="1:12" ht="12.75" x14ac:dyDescent="0.2">
      <c r="A84" s="597" t="s">
        <v>810</v>
      </c>
      <c r="B84" s="316"/>
      <c r="C84" s="316"/>
      <c r="D84" s="314"/>
      <c r="E84" s="314">
        <f t="shared" si="3"/>
        <v>0</v>
      </c>
      <c r="F84" s="314"/>
      <c r="G84" s="314">
        <f t="shared" si="4"/>
        <v>0</v>
      </c>
      <c r="H84" s="314">
        <f t="shared" si="5"/>
        <v>0</v>
      </c>
      <c r="I84" s="41"/>
      <c r="J84" s="77"/>
      <c r="K84" s="41"/>
      <c r="L84" s="41"/>
    </row>
    <row r="85" spans="1:12" ht="12.75" x14ac:dyDescent="0.2">
      <c r="A85" s="598" t="s">
        <v>59</v>
      </c>
      <c r="B85" s="316">
        <f>B140</f>
        <v>84867050</v>
      </c>
      <c r="C85" s="316">
        <f>C140</f>
        <v>84867050</v>
      </c>
      <c r="D85" s="314">
        <f>D140</f>
        <v>17301345.27</v>
      </c>
      <c r="E85" s="314">
        <f t="shared" ref="E85:E94" si="6">IF(C85&gt;0,D85/C85,0)*100</f>
        <v>20.386410591625371</v>
      </c>
      <c r="F85" s="314">
        <f>F140</f>
        <v>98622674.610000014</v>
      </c>
      <c r="G85" s="314">
        <f t="shared" ref="G85:G94" si="7">IF(C85&gt;0,F85/C85,0)*100</f>
        <v>116.20843968301008</v>
      </c>
      <c r="H85" s="314">
        <f t="shared" ref="H85:H94" si="8">C85-F85</f>
        <v>-13755624.610000014</v>
      </c>
      <c r="I85" s="41"/>
      <c r="J85" s="77"/>
      <c r="K85" s="41"/>
      <c r="L85" s="41"/>
    </row>
    <row r="86" spans="1:12" ht="12.75" x14ac:dyDescent="0.2">
      <c r="A86" s="36" t="s">
        <v>60</v>
      </c>
      <c r="B86" s="346">
        <f>B85+B21</f>
        <v>1079000000</v>
      </c>
      <c r="C86" s="346">
        <f>C85+C21</f>
        <v>1121341961.45</v>
      </c>
      <c r="D86" s="312">
        <f>D85+D21</f>
        <v>241937980.01000002</v>
      </c>
      <c r="E86" s="318">
        <f t="shared" si="6"/>
        <v>21.57575372432791</v>
      </c>
      <c r="F86" s="318">
        <f>F85+F21</f>
        <v>1390663224.5400004</v>
      </c>
      <c r="G86" s="318">
        <f t="shared" si="7"/>
        <v>124.01776374637249</v>
      </c>
      <c r="H86" s="318">
        <f t="shared" si="8"/>
        <v>-269321263.09000039</v>
      </c>
      <c r="I86" s="41"/>
      <c r="J86" s="77"/>
      <c r="K86" s="41"/>
      <c r="L86" s="41"/>
    </row>
    <row r="87" spans="1:12" ht="12.75" x14ac:dyDescent="0.2">
      <c r="A87" s="37" t="s">
        <v>357</v>
      </c>
      <c r="B87" s="315">
        <f>B88+B91</f>
        <v>0</v>
      </c>
      <c r="C87" s="315">
        <f>C88+C91</f>
        <v>0</v>
      </c>
      <c r="D87" s="312">
        <f>D88+D91</f>
        <v>0</v>
      </c>
      <c r="E87" s="312">
        <f t="shared" si="6"/>
        <v>0</v>
      </c>
      <c r="F87" s="312">
        <f>F88+F91</f>
        <v>0</v>
      </c>
      <c r="G87" s="314">
        <f t="shared" si="7"/>
        <v>0</v>
      </c>
      <c r="H87" s="314">
        <f t="shared" si="8"/>
        <v>0</v>
      </c>
      <c r="I87" s="41"/>
      <c r="J87" s="230"/>
      <c r="K87" s="41"/>
      <c r="L87" s="41"/>
    </row>
    <row r="88" spans="1:12" ht="12.75" x14ac:dyDescent="0.2">
      <c r="A88" s="35" t="s">
        <v>331</v>
      </c>
      <c r="B88" s="316">
        <f>SUM(B89:B90)</f>
        <v>0</v>
      </c>
      <c r="C88" s="316">
        <f>SUM(C89:C90)</f>
        <v>0</v>
      </c>
      <c r="D88" s="314">
        <f>SUM(D89:D90)</f>
        <v>0</v>
      </c>
      <c r="E88" s="314">
        <f t="shared" si="6"/>
        <v>0</v>
      </c>
      <c r="F88" s="314">
        <f>SUM(F89:F90)</f>
        <v>0</v>
      </c>
      <c r="G88" s="314">
        <f t="shared" si="7"/>
        <v>0</v>
      </c>
      <c r="H88" s="314">
        <f t="shared" si="8"/>
        <v>0</v>
      </c>
      <c r="I88" s="41"/>
      <c r="J88" s="230"/>
      <c r="K88" s="41"/>
      <c r="L88" s="41"/>
    </row>
    <row r="89" spans="1:12" ht="12.75" x14ac:dyDescent="0.2">
      <c r="A89" s="35" t="s">
        <v>36</v>
      </c>
      <c r="B89" s="316"/>
      <c r="C89" s="316"/>
      <c r="D89" s="314"/>
      <c r="E89" s="314">
        <f t="shared" si="6"/>
        <v>0</v>
      </c>
      <c r="F89" s="314"/>
      <c r="G89" s="314">
        <f t="shared" si="7"/>
        <v>0</v>
      </c>
      <c r="H89" s="314">
        <f t="shared" si="8"/>
        <v>0</v>
      </c>
      <c r="I89" s="41"/>
      <c r="J89" s="230"/>
      <c r="K89" s="41"/>
      <c r="L89" s="41"/>
    </row>
    <row r="90" spans="1:12" ht="12.75" x14ac:dyDescent="0.2">
      <c r="A90" s="218" t="s">
        <v>37</v>
      </c>
      <c r="B90" s="316"/>
      <c r="C90" s="316"/>
      <c r="D90" s="314"/>
      <c r="E90" s="314">
        <f t="shared" si="6"/>
        <v>0</v>
      </c>
      <c r="F90" s="314"/>
      <c r="G90" s="314">
        <f t="shared" si="7"/>
        <v>0</v>
      </c>
      <c r="H90" s="314">
        <f t="shared" si="8"/>
        <v>0</v>
      </c>
      <c r="I90" s="41"/>
      <c r="J90" s="230"/>
      <c r="K90" s="41"/>
      <c r="L90" s="41"/>
    </row>
    <row r="91" spans="1:12" ht="12.75" x14ac:dyDescent="0.2">
      <c r="A91" s="35" t="s">
        <v>332</v>
      </c>
      <c r="B91" s="316">
        <f>SUM(B92:B93)</f>
        <v>0</v>
      </c>
      <c r="C91" s="316">
        <f>SUM(C92:C93)</f>
        <v>0</v>
      </c>
      <c r="D91" s="314">
        <f>SUM(D92:D93)</f>
        <v>0</v>
      </c>
      <c r="E91" s="314">
        <f t="shared" si="6"/>
        <v>0</v>
      </c>
      <c r="F91" s="314">
        <f>SUM(F92:F93)</f>
        <v>0</v>
      </c>
      <c r="G91" s="314">
        <f t="shared" si="7"/>
        <v>0</v>
      </c>
      <c r="H91" s="314">
        <f t="shared" si="8"/>
        <v>0</v>
      </c>
      <c r="I91" s="41"/>
      <c r="J91" s="230"/>
      <c r="K91" s="41"/>
      <c r="L91" s="41"/>
    </row>
    <row r="92" spans="1:12" ht="12.75" x14ac:dyDescent="0.2">
      <c r="A92" s="35" t="s">
        <v>36</v>
      </c>
      <c r="B92" s="316"/>
      <c r="C92" s="316"/>
      <c r="D92" s="314"/>
      <c r="E92" s="314">
        <f t="shared" si="6"/>
        <v>0</v>
      </c>
      <c r="F92" s="314"/>
      <c r="G92" s="314">
        <f t="shared" si="7"/>
        <v>0</v>
      </c>
      <c r="H92" s="314">
        <f t="shared" si="8"/>
        <v>0</v>
      </c>
      <c r="I92" s="41"/>
      <c r="J92" s="230"/>
      <c r="K92" s="41"/>
      <c r="L92" s="41"/>
    </row>
    <row r="93" spans="1:12" ht="12.75" x14ac:dyDescent="0.2">
      <c r="A93" s="218" t="s">
        <v>37</v>
      </c>
      <c r="B93" s="344"/>
      <c r="C93" s="344"/>
      <c r="D93" s="317"/>
      <c r="E93" s="317">
        <f t="shared" si="6"/>
        <v>0</v>
      </c>
      <c r="F93" s="317"/>
      <c r="G93" s="314">
        <f t="shared" si="7"/>
        <v>0</v>
      </c>
      <c r="H93" s="314">
        <f t="shared" si="8"/>
        <v>0</v>
      </c>
      <c r="I93" s="41"/>
      <c r="J93" s="230"/>
      <c r="K93" s="41"/>
      <c r="L93" s="41"/>
    </row>
    <row r="94" spans="1:12" ht="12.75" x14ac:dyDescent="0.2">
      <c r="A94" s="36" t="s">
        <v>38</v>
      </c>
      <c r="B94" s="346">
        <f>B86+B87</f>
        <v>1079000000</v>
      </c>
      <c r="C94" s="316">
        <f>C86+C87</f>
        <v>1121341961.45</v>
      </c>
      <c r="D94" s="314">
        <f>D86+D87</f>
        <v>241937980.01000002</v>
      </c>
      <c r="E94" s="314">
        <f t="shared" si="6"/>
        <v>21.57575372432791</v>
      </c>
      <c r="F94" s="318">
        <f>F86+F87</f>
        <v>1390663224.5400004</v>
      </c>
      <c r="G94" s="318">
        <f t="shared" si="7"/>
        <v>124.01776374637249</v>
      </c>
      <c r="H94" s="318">
        <f t="shared" si="8"/>
        <v>-269321263.09000039</v>
      </c>
      <c r="I94" s="41"/>
      <c r="J94" s="231"/>
      <c r="K94" s="41"/>
      <c r="L94" s="41"/>
    </row>
    <row r="95" spans="1:12" ht="12.75" x14ac:dyDescent="0.2">
      <c r="A95" s="38" t="s">
        <v>658</v>
      </c>
      <c r="B95" s="708"/>
      <c r="C95" s="708"/>
      <c r="D95" s="709"/>
      <c r="E95" s="709"/>
      <c r="F95" s="552">
        <f>IF(A12="Período: 6º Bimestre",IF(F94&lt;E127,E127-F94,0),IF(F94&lt;H127,H127-F94,0))</f>
        <v>0</v>
      </c>
      <c r="G95" s="709"/>
      <c r="H95" s="709"/>
      <c r="I95" s="41"/>
      <c r="J95" s="230"/>
      <c r="K95" s="41"/>
      <c r="L95" s="41"/>
    </row>
    <row r="96" spans="1:12" ht="12.75" x14ac:dyDescent="0.2">
      <c r="A96" s="47" t="s">
        <v>659</v>
      </c>
      <c r="B96" s="553">
        <f>B95+B94</f>
        <v>1079000000</v>
      </c>
      <c r="C96" s="553">
        <f>C95+C94</f>
        <v>1121341961.45</v>
      </c>
      <c r="D96" s="554">
        <f>D95+D94</f>
        <v>241937980.01000002</v>
      </c>
      <c r="E96" s="554">
        <f>IF(C96&gt;0,D96/C96,0)*100</f>
        <v>21.57575372432791</v>
      </c>
      <c r="F96" s="554">
        <f>F95+F94</f>
        <v>1390663224.5400004</v>
      </c>
      <c r="G96" s="554">
        <f>IF(C96&gt;0,F96/C96,0)*100</f>
        <v>124.01776374637249</v>
      </c>
      <c r="H96" s="554">
        <f>C96-F96</f>
        <v>-269321263.09000039</v>
      </c>
      <c r="I96" s="41"/>
      <c r="J96" s="230"/>
      <c r="K96" s="41"/>
      <c r="L96" s="41"/>
    </row>
    <row r="97" spans="1:13" ht="12.75" x14ac:dyDescent="0.2">
      <c r="A97" s="569" t="s">
        <v>745</v>
      </c>
      <c r="B97" s="555">
        <f>SUM(B98:B99)</f>
        <v>0</v>
      </c>
      <c r="C97" s="555">
        <f>SUM(C98:C99)</f>
        <v>253025007.86000001</v>
      </c>
      <c r="D97" s="709"/>
      <c r="E97" s="709"/>
      <c r="F97" s="555">
        <f>SUM(F98:F99)</f>
        <v>253025007.86000001</v>
      </c>
      <c r="G97" s="709"/>
      <c r="H97" s="709"/>
      <c r="I97" s="41"/>
      <c r="J97" s="230"/>
      <c r="K97" s="41"/>
      <c r="L97" s="41"/>
    </row>
    <row r="98" spans="1:13" ht="12.75" x14ac:dyDescent="0.2">
      <c r="A98" s="571" t="s">
        <v>746</v>
      </c>
      <c r="B98" s="555"/>
      <c r="C98" s="555"/>
      <c r="D98" s="709"/>
      <c r="E98" s="709"/>
      <c r="F98" s="709"/>
      <c r="G98" s="709"/>
      <c r="H98" s="709"/>
      <c r="I98" s="41"/>
      <c r="J98" s="230"/>
      <c r="K98" s="41"/>
      <c r="L98" s="41"/>
    </row>
    <row r="99" spans="1:13" ht="12.75" x14ac:dyDescent="0.2">
      <c r="A99" s="570" t="s">
        <v>980</v>
      </c>
      <c r="B99" s="828"/>
      <c r="C99" s="829">
        <v>253025007.86000001</v>
      </c>
      <c r="D99" s="830"/>
      <c r="E99" s="830"/>
      <c r="F99" s="829">
        <v>253025007.86000001</v>
      </c>
      <c r="G99" s="830"/>
      <c r="H99" s="830"/>
      <c r="I99" s="41"/>
      <c r="J99" s="230"/>
      <c r="K99" s="41"/>
      <c r="L99" s="41"/>
    </row>
    <row r="100" spans="1:13" ht="12.75" x14ac:dyDescent="0.2">
      <c r="A100" s="236"/>
      <c r="B100" s="237"/>
      <c r="C100" s="237"/>
      <c r="D100" s="237"/>
      <c r="E100" s="237"/>
      <c r="F100" s="237"/>
      <c r="G100" s="237"/>
      <c r="H100" s="237"/>
      <c r="I100" s="41"/>
      <c r="J100" s="230"/>
      <c r="K100" s="41"/>
      <c r="L100" s="41"/>
    </row>
    <row r="101" spans="1:13" ht="12.75" x14ac:dyDescent="0.2">
      <c r="A101" s="236"/>
      <c r="B101" s="237"/>
      <c r="C101" s="237"/>
      <c r="D101" s="237"/>
      <c r="E101" s="237"/>
      <c r="F101" s="237"/>
      <c r="G101" s="237"/>
      <c r="H101" s="237"/>
      <c r="I101" s="41"/>
      <c r="J101" s="230"/>
      <c r="K101" s="41"/>
      <c r="L101" s="41"/>
    </row>
    <row r="102" spans="1:13" ht="12.75" x14ac:dyDescent="0.2">
      <c r="A102" s="236"/>
      <c r="B102" s="237"/>
      <c r="C102" s="237"/>
      <c r="D102" s="237"/>
      <c r="E102" s="237"/>
      <c r="F102" s="237"/>
      <c r="G102" s="237"/>
      <c r="H102" s="237"/>
      <c r="I102" s="41"/>
      <c r="J102" s="230"/>
      <c r="K102" s="41"/>
      <c r="L102" s="41"/>
    </row>
    <row r="103" spans="1:13" ht="12.75" x14ac:dyDescent="0.2">
      <c r="A103" s="236"/>
      <c r="B103" s="237"/>
      <c r="C103" s="237"/>
      <c r="D103" s="237"/>
      <c r="E103" s="237"/>
      <c r="F103" s="237"/>
      <c r="G103" s="237"/>
      <c r="H103" s="237"/>
      <c r="I103" s="41"/>
      <c r="J103" s="230"/>
      <c r="K103" s="41"/>
      <c r="L103" s="41"/>
    </row>
    <row r="104" spans="1:13" ht="12.75" x14ac:dyDescent="0.2"/>
    <row r="105" spans="1:13" ht="14.25" customHeight="1" x14ac:dyDescent="0.2">
      <c r="A105" s="165"/>
      <c r="B105" s="166" t="s">
        <v>109</v>
      </c>
      <c r="C105" s="166" t="s">
        <v>109</v>
      </c>
      <c r="D105" s="913" t="s">
        <v>110</v>
      </c>
      <c r="E105" s="914"/>
      <c r="F105" s="167" t="s">
        <v>113</v>
      </c>
      <c r="G105" s="913" t="s">
        <v>111</v>
      </c>
      <c r="H105" s="915"/>
      <c r="I105" s="167" t="s">
        <v>113</v>
      </c>
      <c r="J105" s="916" t="s">
        <v>924</v>
      </c>
      <c r="K105" s="910" t="s">
        <v>675</v>
      </c>
    </row>
    <row r="106" spans="1:13" ht="28.5" customHeight="1" x14ac:dyDescent="0.2">
      <c r="A106" s="168" t="s">
        <v>112</v>
      </c>
      <c r="B106" s="169" t="s">
        <v>80</v>
      </c>
      <c r="C106" s="169" t="s">
        <v>81</v>
      </c>
      <c r="D106" s="171" t="str">
        <f>CONCATENATE("No ", B12)</f>
        <v>No Bimestre</v>
      </c>
      <c r="E106" s="170" t="str">
        <f>F19</f>
        <v>Até o  Bimestre</v>
      </c>
      <c r="F106" s="171"/>
      <c r="G106" s="171" t="str">
        <f>CONCATENATE("No ", B12)</f>
        <v>No Bimestre</v>
      </c>
      <c r="H106" s="170" t="str">
        <f>F19</f>
        <v>Até o  Bimestre</v>
      </c>
      <c r="I106" s="171"/>
      <c r="J106" s="917"/>
      <c r="K106" s="911"/>
    </row>
    <row r="107" spans="1:13" ht="23.25" customHeight="1" x14ac:dyDescent="0.2">
      <c r="A107" s="172"/>
      <c r="B107" s="174" t="s">
        <v>114</v>
      </c>
      <c r="C107" s="174" t="s">
        <v>115</v>
      </c>
      <c r="D107" s="174"/>
      <c r="E107" s="174" t="s">
        <v>200</v>
      </c>
      <c r="F107" s="175" t="s">
        <v>674</v>
      </c>
      <c r="G107" s="173"/>
      <c r="H107" s="173" t="s">
        <v>117</v>
      </c>
      <c r="I107" s="175" t="s">
        <v>673</v>
      </c>
      <c r="J107" s="173" t="s">
        <v>350</v>
      </c>
      <c r="K107" s="912"/>
    </row>
    <row r="108" spans="1:13" ht="12.75" x14ac:dyDescent="0.2">
      <c r="A108" s="40" t="s">
        <v>660</v>
      </c>
      <c r="B108" s="314">
        <f>B109+B113+B117</f>
        <v>963962200</v>
      </c>
      <c r="C108" s="314">
        <f>C109+C113+C117</f>
        <v>1250250330.45</v>
      </c>
      <c r="D108" s="314">
        <f>D109+D113+D117</f>
        <v>142730606.74000001</v>
      </c>
      <c r="E108" s="314">
        <f>E109+E113+E117</f>
        <v>1135031186.53</v>
      </c>
      <c r="F108" s="314">
        <f t="shared" ref="F108:F116" si="9">C108-E108</f>
        <v>115219143.92000008</v>
      </c>
      <c r="G108" s="556">
        <f>G109+G113+G117</f>
        <v>202321326.57000002</v>
      </c>
      <c r="H108" s="314">
        <f>H109+H113+H117</f>
        <v>1065998748.88</v>
      </c>
      <c r="I108" s="316">
        <f t="shared" ref="I108:I116" si="10">C108-H108</f>
        <v>184251581.57000005</v>
      </c>
      <c r="J108" s="312">
        <f>J109+J113+J117</f>
        <v>1050772875.6700001</v>
      </c>
      <c r="K108" s="375">
        <f>K109+K113+K117</f>
        <v>69032437.650000006</v>
      </c>
    </row>
    <row r="109" spans="1:13" ht="12.75" x14ac:dyDescent="0.2">
      <c r="A109" s="41" t="s">
        <v>61</v>
      </c>
      <c r="B109" s="314">
        <f>SUM(B110:B112)</f>
        <v>911961780</v>
      </c>
      <c r="C109" s="314">
        <f>SUM(C110:C112)</f>
        <v>1047471870.6800001</v>
      </c>
      <c r="D109" s="314">
        <f>SUM(D110:D112)</f>
        <v>129374293.26000001</v>
      </c>
      <c r="E109" s="314">
        <f>SUM(E110:E112)</f>
        <v>985148060.17000008</v>
      </c>
      <c r="F109" s="314">
        <f t="shared" si="9"/>
        <v>62323810.50999999</v>
      </c>
      <c r="G109" s="556">
        <f>SUM(G110:G112)</f>
        <v>186695312.79000002</v>
      </c>
      <c r="H109" s="314">
        <f>SUM(H110:H112)</f>
        <v>947820033.48000002</v>
      </c>
      <c r="I109" s="316">
        <f t="shared" si="10"/>
        <v>99651837.200000048</v>
      </c>
      <c r="J109" s="314">
        <f>SUM(J110:J112)</f>
        <v>933224487.73000002</v>
      </c>
      <c r="K109" s="375">
        <f>SUM(K110:K112)</f>
        <v>37328026.689999998</v>
      </c>
      <c r="M109" s="24"/>
    </row>
    <row r="110" spans="1:13" s="24" customFormat="1" ht="12.75" x14ac:dyDescent="0.2">
      <c r="A110" s="41" t="s">
        <v>62</v>
      </c>
      <c r="B110" s="314">
        <v>421438000</v>
      </c>
      <c r="C110" s="314">
        <v>469985016.44</v>
      </c>
      <c r="D110" s="314">
        <v>85621293.670000002</v>
      </c>
      <c r="E110" s="314">
        <v>452728827.00999999</v>
      </c>
      <c r="F110" s="314">
        <f t="shared" si="9"/>
        <v>17256189.430000007</v>
      </c>
      <c r="G110" s="314">
        <v>92887483.969999999</v>
      </c>
      <c r="H110" s="314">
        <v>452277851.06999999</v>
      </c>
      <c r="I110" s="316">
        <f t="shared" si="10"/>
        <v>17707165.370000005</v>
      </c>
      <c r="J110" s="314">
        <v>445901535.11000001</v>
      </c>
      <c r="K110" s="375">
        <v>450975.94</v>
      </c>
      <c r="L110" s="25"/>
      <c r="M110" s="25"/>
    </row>
    <row r="111" spans="1:13" ht="12.75" x14ac:dyDescent="0.2">
      <c r="A111" s="41" t="s">
        <v>63</v>
      </c>
      <c r="B111" s="314">
        <v>7721000</v>
      </c>
      <c r="C111" s="314">
        <v>7721866.2699999996</v>
      </c>
      <c r="D111" s="314">
        <v>765628.73</v>
      </c>
      <c r="E111" s="314">
        <v>4843523.05</v>
      </c>
      <c r="F111" s="314">
        <f t="shared" si="9"/>
        <v>2878343.2199999997</v>
      </c>
      <c r="G111" s="314">
        <v>765628.73</v>
      </c>
      <c r="H111" s="314">
        <v>4843523.05</v>
      </c>
      <c r="I111" s="316">
        <f t="shared" si="10"/>
        <v>2878343.2199999997</v>
      </c>
      <c r="J111" s="314">
        <v>4843523.05</v>
      </c>
      <c r="K111" s="375">
        <v>0</v>
      </c>
    </row>
    <row r="112" spans="1:13" ht="12.75" x14ac:dyDescent="0.2">
      <c r="A112" s="41" t="s">
        <v>64</v>
      </c>
      <c r="B112" s="314">
        <v>482802780</v>
      </c>
      <c r="C112" s="314">
        <v>569764987.97000003</v>
      </c>
      <c r="D112" s="314">
        <v>42987370.859999999</v>
      </c>
      <c r="E112" s="314">
        <v>527575710.11000001</v>
      </c>
      <c r="F112" s="314">
        <f t="shared" si="9"/>
        <v>42189277.860000014</v>
      </c>
      <c r="G112" s="314">
        <v>93042200.090000004</v>
      </c>
      <c r="H112" s="314">
        <v>490698659.36000001</v>
      </c>
      <c r="I112" s="316">
        <f t="shared" si="10"/>
        <v>79066328.610000014</v>
      </c>
      <c r="J112" s="314">
        <v>482479429.56999999</v>
      </c>
      <c r="K112" s="375">
        <v>36877050.75</v>
      </c>
      <c r="M112" s="24"/>
    </row>
    <row r="113" spans="1:13" s="24" customFormat="1" ht="12.75" x14ac:dyDescent="0.2">
      <c r="A113" s="41" t="s">
        <v>65</v>
      </c>
      <c r="B113" s="314">
        <f>SUM(B114:B116)</f>
        <v>45989820</v>
      </c>
      <c r="C113" s="314">
        <f>SUM(C114:C116)</f>
        <v>199102359.76999998</v>
      </c>
      <c r="D113" s="314">
        <f>SUM(D114:D116)</f>
        <v>13356313.479999999</v>
      </c>
      <c r="E113" s="314">
        <f>SUM(E114:E116)</f>
        <v>149883126.35999998</v>
      </c>
      <c r="F113" s="314">
        <f t="shared" si="9"/>
        <v>49219233.409999996</v>
      </c>
      <c r="G113" s="314">
        <f>SUM(G114:G116)</f>
        <v>15626013.779999999</v>
      </c>
      <c r="H113" s="314">
        <f>SUM(H114:H116)</f>
        <v>118178715.40000001</v>
      </c>
      <c r="I113" s="316">
        <f t="shared" si="10"/>
        <v>80923644.369999975</v>
      </c>
      <c r="J113" s="314">
        <f>SUM(J114:J116)</f>
        <v>117548387.94</v>
      </c>
      <c r="K113" s="375">
        <f>SUM(K114:K116)</f>
        <v>31704410.960000001</v>
      </c>
      <c r="L113" s="25"/>
      <c r="M113" s="25"/>
    </row>
    <row r="114" spans="1:13" ht="12.75" x14ac:dyDescent="0.2">
      <c r="A114" s="41" t="s">
        <v>66</v>
      </c>
      <c r="B114" s="314">
        <v>36238720</v>
      </c>
      <c r="C114" s="314">
        <v>189033759.66999999</v>
      </c>
      <c r="D114" s="314">
        <v>12189936.529999999</v>
      </c>
      <c r="E114" s="314">
        <v>142537906.22</v>
      </c>
      <c r="F114" s="314">
        <f t="shared" si="9"/>
        <v>46495853.449999988</v>
      </c>
      <c r="G114" s="314">
        <v>14459636.83</v>
      </c>
      <c r="H114" s="314">
        <v>110833495.26000001</v>
      </c>
      <c r="I114" s="316">
        <f t="shared" si="10"/>
        <v>78200264.409999982</v>
      </c>
      <c r="J114" s="314">
        <v>110203167.8</v>
      </c>
      <c r="K114" s="375">
        <v>31704410.960000001</v>
      </c>
    </row>
    <row r="115" spans="1:13" ht="12.75" x14ac:dyDescent="0.2">
      <c r="A115" s="41" t="s">
        <v>67</v>
      </c>
      <c r="B115" s="314"/>
      <c r="C115" s="314"/>
      <c r="D115" s="314"/>
      <c r="E115" s="314"/>
      <c r="F115" s="314">
        <f t="shared" si="9"/>
        <v>0</v>
      </c>
      <c r="G115" s="314"/>
      <c r="H115" s="314"/>
      <c r="I115" s="316">
        <f t="shared" si="10"/>
        <v>0</v>
      </c>
      <c r="J115" s="314"/>
      <c r="K115" s="375"/>
    </row>
    <row r="116" spans="1:13" ht="12.75" x14ac:dyDescent="0.2">
      <c r="A116" s="41" t="s">
        <v>68</v>
      </c>
      <c r="B116" s="314">
        <v>9751100</v>
      </c>
      <c r="C116" s="314">
        <v>10068600.1</v>
      </c>
      <c r="D116" s="314">
        <v>1166376.95</v>
      </c>
      <c r="E116" s="314">
        <v>7345220.1399999997</v>
      </c>
      <c r="F116" s="314">
        <f t="shared" si="9"/>
        <v>2723379.96</v>
      </c>
      <c r="G116" s="314">
        <v>1166376.95</v>
      </c>
      <c r="H116" s="314">
        <v>7345220.1399999997</v>
      </c>
      <c r="I116" s="316">
        <f t="shared" si="10"/>
        <v>2723379.96</v>
      </c>
      <c r="J116" s="314">
        <v>7345220.1399999997</v>
      </c>
      <c r="K116" s="557">
        <v>0</v>
      </c>
    </row>
    <row r="117" spans="1:13" ht="12.75" customHeight="1" x14ac:dyDescent="0.2">
      <c r="A117" s="41" t="s">
        <v>69</v>
      </c>
      <c r="B117" s="316">
        <v>6010600</v>
      </c>
      <c r="C117" s="316">
        <v>3676100</v>
      </c>
      <c r="D117" s="558"/>
      <c r="E117" s="558"/>
      <c r="F117" s="316">
        <f>C117</f>
        <v>3676100</v>
      </c>
      <c r="G117" s="558"/>
      <c r="H117" s="558"/>
      <c r="I117" s="316">
        <f>C117</f>
        <v>3676100</v>
      </c>
      <c r="J117" s="558"/>
      <c r="K117" s="558"/>
    </row>
    <row r="118" spans="1:13" ht="12.75" x14ac:dyDescent="0.2">
      <c r="A118" s="41" t="s">
        <v>661</v>
      </c>
      <c r="B118" s="316">
        <f>B212</f>
        <v>89396600</v>
      </c>
      <c r="C118" s="316">
        <f>C212</f>
        <v>104660438.86</v>
      </c>
      <c r="D118" s="316">
        <f>D212</f>
        <v>20866367.130000003</v>
      </c>
      <c r="E118" s="316">
        <f>E212</f>
        <v>101601998.72999999</v>
      </c>
      <c r="F118" s="316">
        <f t="shared" ref="F118:F127" si="11">C118-E118</f>
        <v>3058440.1300000101</v>
      </c>
      <c r="G118" s="316">
        <f>G212</f>
        <v>24370584.420000002</v>
      </c>
      <c r="H118" s="316">
        <f>H212</f>
        <v>100947826.84999999</v>
      </c>
      <c r="I118" s="316">
        <f>I212</f>
        <v>3712612.0100000054</v>
      </c>
      <c r="J118" s="316">
        <f>J212</f>
        <v>87271551.00999999</v>
      </c>
      <c r="K118" s="314">
        <f>K212</f>
        <v>654171.88</v>
      </c>
    </row>
    <row r="119" spans="1:13" ht="12.75" x14ac:dyDescent="0.2">
      <c r="A119" s="43" t="s">
        <v>662</v>
      </c>
      <c r="B119" s="346">
        <f>B108+B118</f>
        <v>1053358800</v>
      </c>
      <c r="C119" s="346">
        <f>C108+C118</f>
        <v>1354910769.3099999</v>
      </c>
      <c r="D119" s="346">
        <f>D108+D118</f>
        <v>163596973.87</v>
      </c>
      <c r="E119" s="346">
        <f>E108+E118</f>
        <v>1236633185.26</v>
      </c>
      <c r="F119" s="346">
        <f t="shared" si="11"/>
        <v>118277584.04999995</v>
      </c>
      <c r="G119" s="346">
        <f>G108+G118</f>
        <v>226691910.99000001</v>
      </c>
      <c r="H119" s="346">
        <f>H108+H118</f>
        <v>1166946575.73</v>
      </c>
      <c r="I119" s="346">
        <f t="shared" ref="I119:I127" si="12">C119-H119</f>
        <v>187964193.57999992</v>
      </c>
      <c r="J119" s="346">
        <f>J108+J118</f>
        <v>1138044426.6800001</v>
      </c>
      <c r="K119" s="318">
        <f>K108+K118</f>
        <v>69686609.530000001</v>
      </c>
    </row>
    <row r="120" spans="1:13" ht="12.75" x14ac:dyDescent="0.2">
      <c r="A120" s="37" t="s">
        <v>663</v>
      </c>
      <c r="B120" s="315">
        <f>B121+B124</f>
        <v>0</v>
      </c>
      <c r="C120" s="315">
        <f>C121+C124</f>
        <v>0</v>
      </c>
      <c r="D120" s="315">
        <f>D121+D124</f>
        <v>0</v>
      </c>
      <c r="E120" s="315">
        <f>E121+E124</f>
        <v>0</v>
      </c>
      <c r="F120" s="315">
        <f t="shared" si="11"/>
        <v>0</v>
      </c>
      <c r="G120" s="315">
        <f>G121+G124</f>
        <v>0</v>
      </c>
      <c r="H120" s="315">
        <f>H121+H124</f>
        <v>0</v>
      </c>
      <c r="I120" s="315">
        <f t="shared" si="12"/>
        <v>0</v>
      </c>
      <c r="J120" s="315">
        <f>J121+J124</f>
        <v>0</v>
      </c>
      <c r="K120" s="314">
        <f>K121+K124</f>
        <v>0</v>
      </c>
    </row>
    <row r="121" spans="1:13" ht="12.75" x14ac:dyDescent="0.2">
      <c r="A121" s="35" t="s">
        <v>3</v>
      </c>
      <c r="B121" s="316">
        <f>SUM(B122:B123)</f>
        <v>0</v>
      </c>
      <c r="C121" s="316">
        <f>SUM(C122:C123)</f>
        <v>0</v>
      </c>
      <c r="D121" s="316">
        <f>SUM(D122:D123)</f>
        <v>0</v>
      </c>
      <c r="E121" s="314">
        <f>SUM(E122:E123)</f>
        <v>0</v>
      </c>
      <c r="F121" s="316">
        <f t="shared" si="11"/>
        <v>0</v>
      </c>
      <c r="G121" s="316">
        <f>SUM(G122:G123)</f>
        <v>0</v>
      </c>
      <c r="H121" s="314">
        <f>SUM(H122:H123)</f>
        <v>0</v>
      </c>
      <c r="I121" s="316">
        <f t="shared" si="12"/>
        <v>0</v>
      </c>
      <c r="J121" s="314">
        <f>SUM(J122:J123)</f>
        <v>0</v>
      </c>
      <c r="K121" s="314">
        <f>SUM(K122:K123)</f>
        <v>0</v>
      </c>
    </row>
    <row r="122" spans="1:13" ht="12.75" x14ac:dyDescent="0.2">
      <c r="A122" s="35" t="s">
        <v>1</v>
      </c>
      <c r="B122" s="316"/>
      <c r="C122" s="316"/>
      <c r="D122" s="316"/>
      <c r="E122" s="314"/>
      <c r="F122" s="316">
        <f t="shared" si="11"/>
        <v>0</v>
      </c>
      <c r="G122" s="316"/>
      <c r="H122" s="314"/>
      <c r="I122" s="316">
        <f t="shared" si="12"/>
        <v>0</v>
      </c>
      <c r="J122" s="314"/>
      <c r="K122" s="314"/>
    </row>
    <row r="123" spans="1:13" ht="12.75" x14ac:dyDescent="0.2">
      <c r="A123" s="35" t="s">
        <v>2</v>
      </c>
      <c r="B123" s="316"/>
      <c r="C123" s="316"/>
      <c r="D123" s="316"/>
      <c r="E123" s="314"/>
      <c r="F123" s="316">
        <f t="shared" si="11"/>
        <v>0</v>
      </c>
      <c r="G123" s="316"/>
      <c r="H123" s="314"/>
      <c r="I123" s="316">
        <f t="shared" si="12"/>
        <v>0</v>
      </c>
      <c r="J123" s="314"/>
      <c r="K123" s="314"/>
    </row>
    <row r="124" spans="1:13" ht="12.75" x14ac:dyDescent="0.2">
      <c r="A124" s="35" t="s">
        <v>4</v>
      </c>
      <c r="B124" s="316">
        <f>SUM(B125:B126)</f>
        <v>0</v>
      </c>
      <c r="C124" s="316">
        <f>SUM(C125:C126)</f>
        <v>0</v>
      </c>
      <c r="D124" s="316">
        <f>SUM(D125:D126)</f>
        <v>0</v>
      </c>
      <c r="E124" s="314">
        <f>SUM(E125:E126)</f>
        <v>0</v>
      </c>
      <c r="F124" s="316">
        <f t="shared" si="11"/>
        <v>0</v>
      </c>
      <c r="G124" s="316">
        <f>SUM(G125:G126)</f>
        <v>0</v>
      </c>
      <c r="H124" s="314">
        <f>SUM(H125:H126)</f>
        <v>0</v>
      </c>
      <c r="I124" s="316">
        <f t="shared" si="12"/>
        <v>0</v>
      </c>
      <c r="J124" s="314">
        <f>SUM(J125:J126)</f>
        <v>0</v>
      </c>
      <c r="K124" s="314">
        <f>SUM(K125:K126)</f>
        <v>0</v>
      </c>
    </row>
    <row r="125" spans="1:13" ht="12.75" x14ac:dyDescent="0.2">
      <c r="A125" s="35" t="s">
        <v>1</v>
      </c>
      <c r="B125" s="316"/>
      <c r="C125" s="316"/>
      <c r="D125" s="316"/>
      <c r="E125" s="314"/>
      <c r="F125" s="316">
        <f t="shared" si="11"/>
        <v>0</v>
      </c>
      <c r="G125" s="316"/>
      <c r="H125" s="314"/>
      <c r="I125" s="316">
        <f t="shared" si="12"/>
        <v>0</v>
      </c>
      <c r="J125" s="314"/>
      <c r="K125" s="314"/>
    </row>
    <row r="126" spans="1:13" ht="12.75" x14ac:dyDescent="0.2">
      <c r="A126" s="44" t="s">
        <v>2</v>
      </c>
      <c r="B126" s="344"/>
      <c r="C126" s="344"/>
      <c r="D126" s="344"/>
      <c r="E126" s="317"/>
      <c r="F126" s="344">
        <f t="shared" si="11"/>
        <v>0</v>
      </c>
      <c r="G126" s="344"/>
      <c r="H126" s="317"/>
      <c r="I126" s="344">
        <f t="shared" si="12"/>
        <v>0</v>
      </c>
      <c r="J126" s="317"/>
      <c r="K126" s="317"/>
    </row>
    <row r="127" spans="1:13" ht="12.75" x14ac:dyDescent="0.2">
      <c r="A127" s="39" t="s">
        <v>664</v>
      </c>
      <c r="B127" s="344">
        <f>B119+B120</f>
        <v>1053358800</v>
      </c>
      <c r="C127" s="344">
        <f>C119+C120</f>
        <v>1354910769.3099999</v>
      </c>
      <c r="D127" s="344">
        <f>D119+D120</f>
        <v>163596973.87</v>
      </c>
      <c r="E127" s="344">
        <f>E119+E120</f>
        <v>1236633185.26</v>
      </c>
      <c r="F127" s="344">
        <f t="shared" si="11"/>
        <v>118277584.04999995</v>
      </c>
      <c r="G127" s="344">
        <f>G119+G120</f>
        <v>226691910.99000001</v>
      </c>
      <c r="H127" s="344">
        <f>H119+H120</f>
        <v>1166946575.73</v>
      </c>
      <c r="I127" s="344">
        <f t="shared" si="12"/>
        <v>187964193.57999992</v>
      </c>
      <c r="J127" s="344">
        <f>J119+J120</f>
        <v>1138044426.6800001</v>
      </c>
      <c r="K127" s="317">
        <f>K119+K120</f>
        <v>69686609.530000001</v>
      </c>
    </row>
    <row r="128" spans="1:13" ht="12.75" x14ac:dyDescent="0.2">
      <c r="A128" s="39" t="s">
        <v>665</v>
      </c>
      <c r="B128" s="558"/>
      <c r="C128" s="558"/>
      <c r="D128" s="558"/>
      <c r="E128" s="346">
        <f>IF(F94&gt;E127,F94-E127,0)</f>
        <v>154030039.28000045</v>
      </c>
      <c r="F128" s="558"/>
      <c r="G128" s="558"/>
      <c r="H128" s="344">
        <f>IF(F94&gt;H127,F94-H127,0)</f>
        <v>223716648.81000042</v>
      </c>
      <c r="I128" s="558"/>
      <c r="J128" s="344">
        <f>IF(F94&gt;J127,F94-J127,0)</f>
        <v>252618797.86000037</v>
      </c>
      <c r="K128" s="559"/>
    </row>
    <row r="129" spans="1:13" ht="12.75" x14ac:dyDescent="0.2">
      <c r="A129" s="48" t="s">
        <v>666</v>
      </c>
      <c r="B129" s="560">
        <f>B127+B128</f>
        <v>1053358800</v>
      </c>
      <c r="C129" s="560">
        <f>C127+C128</f>
        <v>1354910769.3099999</v>
      </c>
      <c r="D129" s="560">
        <f>D127+D128</f>
        <v>163596973.87</v>
      </c>
      <c r="E129" s="560">
        <f>E127+E128</f>
        <v>1390663224.5400004</v>
      </c>
      <c r="F129" s="565"/>
      <c r="G129" s="560">
        <f>G127+G128</f>
        <v>226691910.99000001</v>
      </c>
      <c r="H129" s="560">
        <f>H127+H128</f>
        <v>1390663224.5400004</v>
      </c>
      <c r="I129" s="565"/>
      <c r="J129" s="560">
        <f>J127+J128</f>
        <v>1390663224.5400004</v>
      </c>
      <c r="K129" s="561">
        <f>K127+K128</f>
        <v>69686609.530000001</v>
      </c>
    </row>
    <row r="130" spans="1:13" ht="12.75" x14ac:dyDescent="0.2">
      <c r="A130" s="41" t="s">
        <v>747</v>
      </c>
      <c r="B130" s="316">
        <v>25641200</v>
      </c>
      <c r="C130" s="316">
        <v>19456200</v>
      </c>
      <c r="D130" s="558"/>
      <c r="E130" s="558"/>
      <c r="F130" s="316">
        <f>C130</f>
        <v>19456200</v>
      </c>
      <c r="G130" s="558"/>
      <c r="H130" s="558"/>
      <c r="I130" s="316">
        <f>C130</f>
        <v>19456200</v>
      </c>
      <c r="J130" s="558"/>
      <c r="K130" s="559"/>
    </row>
    <row r="131" spans="1:13" ht="12.75" x14ac:dyDescent="0.2">
      <c r="A131" s="918" t="s">
        <v>1030</v>
      </c>
      <c r="B131" s="918"/>
      <c r="C131" s="918"/>
      <c r="D131" s="918"/>
      <c r="E131" s="918"/>
      <c r="F131" s="918"/>
      <c r="G131" s="918"/>
      <c r="H131" s="918"/>
      <c r="I131" s="918"/>
      <c r="J131" s="918"/>
      <c r="K131" s="919"/>
      <c r="L131" s="41"/>
    </row>
    <row r="132" spans="1:13" ht="12.75" x14ac:dyDescent="0.2">
      <c r="A132" s="23" t="s">
        <v>525</v>
      </c>
      <c r="B132" s="23"/>
      <c r="C132" s="23"/>
      <c r="D132" s="23"/>
      <c r="E132" s="23"/>
      <c r="F132" s="23"/>
      <c r="G132" s="23"/>
      <c r="H132" s="23"/>
      <c r="I132" s="23"/>
      <c r="J132" s="23"/>
      <c r="L132" s="41"/>
    </row>
    <row r="133" spans="1:13" ht="12.75" x14ac:dyDescent="0.2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M133" s="41"/>
    </row>
    <row r="134" spans="1:13" ht="12.75" x14ac:dyDescent="0.2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M134" s="41"/>
    </row>
    <row r="135" spans="1:13" ht="12.75" x14ac:dyDescent="0.2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M135" s="41"/>
    </row>
    <row r="136" spans="1:13" ht="12.75" x14ac:dyDescent="0.2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M136" s="41"/>
    </row>
    <row r="137" spans="1:13" ht="25.5" x14ac:dyDescent="0.2">
      <c r="A137" s="163"/>
      <c r="B137" s="905" t="s">
        <v>524</v>
      </c>
      <c r="C137" s="434" t="s">
        <v>207</v>
      </c>
      <c r="D137" s="908" t="s">
        <v>78</v>
      </c>
      <c r="E137" s="909"/>
      <c r="F137" s="909"/>
      <c r="G137" s="909"/>
      <c r="H137" s="164" t="s">
        <v>113</v>
      </c>
    </row>
    <row r="138" spans="1:13" ht="12.75" x14ac:dyDescent="0.2">
      <c r="A138" s="65" t="s">
        <v>667</v>
      </c>
      <c r="B138" s="906"/>
      <c r="C138" s="219"/>
      <c r="D138" s="166" t="str">
        <f>D106</f>
        <v>No Bimestre</v>
      </c>
      <c r="E138" s="235" t="s">
        <v>83</v>
      </c>
      <c r="F138" s="166" t="str">
        <f>E106</f>
        <v>Até o  Bimestre</v>
      </c>
      <c r="G138" s="164" t="s">
        <v>83</v>
      </c>
      <c r="H138" s="164"/>
    </row>
    <row r="139" spans="1:13" ht="12.75" x14ac:dyDescent="0.2">
      <c r="A139" s="68"/>
      <c r="B139" s="907"/>
      <c r="C139" s="214" t="s">
        <v>85</v>
      </c>
      <c r="D139" s="69" t="s">
        <v>86</v>
      </c>
      <c r="E139" s="234" t="s">
        <v>87</v>
      </c>
      <c r="F139" s="69" t="s">
        <v>106</v>
      </c>
      <c r="G139" s="69" t="s">
        <v>107</v>
      </c>
      <c r="H139" s="69" t="s">
        <v>108</v>
      </c>
    </row>
    <row r="140" spans="1:13" ht="12.75" x14ac:dyDescent="0.2">
      <c r="A140" s="573" t="s">
        <v>59</v>
      </c>
      <c r="B140" s="316">
        <f>B141+B181</f>
        <v>84867050</v>
      </c>
      <c r="C140" s="315">
        <f>C141+C181</f>
        <v>84867050</v>
      </c>
      <c r="D140" s="314">
        <f>D141+D181</f>
        <v>17301345.27</v>
      </c>
      <c r="E140" s="312">
        <f t="shared" ref="E140:E171" si="13">IF(C140&gt;0,D140/C140,0)*100</f>
        <v>20.386410591625371</v>
      </c>
      <c r="F140" s="312">
        <f>F141+F181</f>
        <v>98622674.610000014</v>
      </c>
      <c r="G140" s="312">
        <f t="shared" ref="G140:G171" si="14">IF(C140&gt;0,F140/C140,0)*100</f>
        <v>116.20843968301008</v>
      </c>
      <c r="H140" s="314">
        <f t="shared" ref="H140:H171" si="15">C140-F140</f>
        <v>-13755624.610000014</v>
      </c>
    </row>
    <row r="141" spans="1:13" ht="12.75" x14ac:dyDescent="0.2">
      <c r="A141" s="572" t="s">
        <v>10</v>
      </c>
      <c r="B141" s="316">
        <f>B142+B146+B151+B159+B160+B161+B167+B176+B182+B185+B189+B190+B199</f>
        <v>84867050</v>
      </c>
      <c r="C141" s="316">
        <f>C142+C146+C151+C159+C160+C161+C167+C176+C182+C185+C189+C190+C199</f>
        <v>84867050</v>
      </c>
      <c r="D141" s="314">
        <f>D142+D146+D151+D159+D160+D161+D167+D176+D182+D185+D189+D190+D199</f>
        <v>17301345.27</v>
      </c>
      <c r="E141" s="314">
        <f t="shared" si="13"/>
        <v>20.386410591625371</v>
      </c>
      <c r="F141" s="314">
        <f>F142+F146+F151+F159+F160+F161+F167+F176+F182+F185+F189+F190+F199</f>
        <v>98622674.610000014</v>
      </c>
      <c r="G141" s="314">
        <f t="shared" si="14"/>
        <v>116.20843968301008</v>
      </c>
      <c r="H141" s="314">
        <f t="shared" si="15"/>
        <v>-13755624.610000014</v>
      </c>
    </row>
    <row r="142" spans="1:13" ht="12.75" x14ac:dyDescent="0.2">
      <c r="A142" s="567" t="s">
        <v>818</v>
      </c>
      <c r="B142" s="316">
        <f>SUM(B143:B145)</f>
        <v>680000</v>
      </c>
      <c r="C142" s="316">
        <f>SUM(C143:C145)</f>
        <v>680000</v>
      </c>
      <c r="D142" s="314">
        <f>SUM(D143:D145)</f>
        <v>135143.67999999999</v>
      </c>
      <c r="E142" s="314">
        <f t="shared" si="13"/>
        <v>19.874070588235291</v>
      </c>
      <c r="F142" s="314">
        <f>SUM(F143:F145)</f>
        <v>675718.56</v>
      </c>
      <c r="G142" s="314">
        <f t="shared" si="14"/>
        <v>99.370376470588241</v>
      </c>
      <c r="H142" s="314">
        <f t="shared" si="15"/>
        <v>4281.4399999999441</v>
      </c>
    </row>
    <row r="143" spans="1:13" ht="12.75" x14ac:dyDescent="0.2">
      <c r="A143" s="572" t="s">
        <v>11</v>
      </c>
      <c r="B143" s="316"/>
      <c r="C143" s="316"/>
      <c r="D143" s="314"/>
      <c r="E143" s="314">
        <f t="shared" si="13"/>
        <v>0</v>
      </c>
      <c r="F143" s="314"/>
      <c r="G143" s="314">
        <f t="shared" si="14"/>
        <v>0</v>
      </c>
      <c r="H143" s="314">
        <f t="shared" si="15"/>
        <v>0</v>
      </c>
    </row>
    <row r="144" spans="1:13" ht="12.75" x14ac:dyDescent="0.2">
      <c r="A144" s="572" t="s">
        <v>12</v>
      </c>
      <c r="B144" s="316">
        <v>680000</v>
      </c>
      <c r="C144" s="316">
        <v>680000</v>
      </c>
      <c r="D144" s="314">
        <v>135143.67999999999</v>
      </c>
      <c r="E144" s="314">
        <f t="shared" si="13"/>
        <v>19.874070588235291</v>
      </c>
      <c r="F144" s="314">
        <v>675718.56</v>
      </c>
      <c r="G144" s="314">
        <f t="shared" si="14"/>
        <v>99.370376470588241</v>
      </c>
      <c r="H144" s="314">
        <f t="shared" si="15"/>
        <v>4281.4399999999441</v>
      </c>
    </row>
    <row r="145" spans="1:8" ht="12.75" x14ac:dyDescent="0.2">
      <c r="A145" s="572" t="s">
        <v>13</v>
      </c>
      <c r="B145" s="316"/>
      <c r="C145" s="316"/>
      <c r="D145" s="314"/>
      <c r="E145" s="314">
        <f t="shared" si="13"/>
        <v>0</v>
      </c>
      <c r="F145" s="314"/>
      <c r="G145" s="314">
        <f t="shared" si="14"/>
        <v>0</v>
      </c>
      <c r="H145" s="314">
        <f t="shared" si="15"/>
        <v>0</v>
      </c>
    </row>
    <row r="146" spans="1:8" ht="12.75" x14ac:dyDescent="0.2">
      <c r="A146" s="567" t="s">
        <v>787</v>
      </c>
      <c r="B146" s="316">
        <f>SUM(B147:B150)</f>
        <v>80394050</v>
      </c>
      <c r="C146" s="316">
        <f>SUM(C147:C150)</f>
        <v>80394050</v>
      </c>
      <c r="D146" s="314">
        <f>SUM(D147:D150)</f>
        <v>16245326.789999999</v>
      </c>
      <c r="E146" s="314">
        <f t="shared" si="13"/>
        <v>20.207125763660368</v>
      </c>
      <c r="F146" s="314">
        <f>SUM(F147:F150)</f>
        <v>93264545.870000005</v>
      </c>
      <c r="G146" s="314">
        <f t="shared" si="14"/>
        <v>116.0092642054978</v>
      </c>
      <c r="H146" s="314">
        <f t="shared" si="15"/>
        <v>-12870495.870000005</v>
      </c>
    </row>
    <row r="147" spans="1:8" ht="12.75" x14ac:dyDescent="0.2">
      <c r="A147" s="572" t="s">
        <v>14</v>
      </c>
      <c r="B147" s="316">
        <v>80394050</v>
      </c>
      <c r="C147" s="316">
        <v>80394050</v>
      </c>
      <c r="D147" s="314">
        <v>16245326.789999999</v>
      </c>
      <c r="E147" s="314">
        <f t="shared" si="13"/>
        <v>20.207125763660368</v>
      </c>
      <c r="F147" s="314">
        <v>93264545.870000005</v>
      </c>
      <c r="G147" s="314">
        <f t="shared" si="14"/>
        <v>116.0092642054978</v>
      </c>
      <c r="H147" s="314">
        <f t="shared" si="15"/>
        <v>-12870495.870000005</v>
      </c>
    </row>
    <row r="148" spans="1:8" ht="12.75" x14ac:dyDescent="0.2">
      <c r="A148" s="572" t="s">
        <v>788</v>
      </c>
      <c r="B148" s="316"/>
      <c r="C148" s="316"/>
      <c r="D148" s="314"/>
      <c r="E148" s="314">
        <f t="shared" si="13"/>
        <v>0</v>
      </c>
      <c r="F148" s="314"/>
      <c r="G148" s="314">
        <f t="shared" si="14"/>
        <v>0</v>
      </c>
      <c r="H148" s="314">
        <f t="shared" si="15"/>
        <v>0</v>
      </c>
    </row>
    <row r="149" spans="1:8" ht="25.5" x14ac:dyDescent="0.2">
      <c r="A149" s="568" t="s">
        <v>811</v>
      </c>
      <c r="B149" s="316"/>
      <c r="C149" s="316"/>
      <c r="D149" s="314"/>
      <c r="E149" s="314">
        <f t="shared" si="13"/>
        <v>0</v>
      </c>
      <c r="F149" s="314"/>
      <c r="G149" s="314">
        <f t="shared" si="14"/>
        <v>0</v>
      </c>
      <c r="H149" s="314">
        <f t="shared" si="15"/>
        <v>0</v>
      </c>
    </row>
    <row r="150" spans="1:8" ht="25.5" x14ac:dyDescent="0.2">
      <c r="A150" s="592" t="s">
        <v>823</v>
      </c>
      <c r="B150" s="316"/>
      <c r="C150" s="316"/>
      <c r="D150" s="314"/>
      <c r="E150" s="314">
        <f t="shared" si="13"/>
        <v>0</v>
      </c>
      <c r="F150" s="314"/>
      <c r="G150" s="314">
        <f t="shared" si="14"/>
        <v>0</v>
      </c>
      <c r="H150" s="314">
        <f t="shared" si="15"/>
        <v>0</v>
      </c>
    </row>
    <row r="151" spans="1:8" ht="12.75" x14ac:dyDescent="0.2">
      <c r="A151" s="572" t="s">
        <v>15</v>
      </c>
      <c r="B151" s="316">
        <f>SUM(B152:B158)</f>
        <v>0</v>
      </c>
      <c r="C151" s="316">
        <f>SUM(C152:C158)</f>
        <v>0</v>
      </c>
      <c r="D151" s="314">
        <f>SUM(D152:D158)</f>
        <v>0</v>
      </c>
      <c r="E151" s="314">
        <f t="shared" si="13"/>
        <v>0</v>
      </c>
      <c r="F151" s="314">
        <f>SUM(F152:F158)</f>
        <v>0</v>
      </c>
      <c r="G151" s="314">
        <f t="shared" si="14"/>
        <v>0</v>
      </c>
      <c r="H151" s="314">
        <f t="shared" si="15"/>
        <v>0</v>
      </c>
    </row>
    <row r="152" spans="1:8" ht="12.75" x14ac:dyDescent="0.2">
      <c r="A152" s="572" t="s">
        <v>789</v>
      </c>
      <c r="B152" s="316"/>
      <c r="C152" s="316"/>
      <c r="D152" s="314"/>
      <c r="E152" s="314">
        <f t="shared" si="13"/>
        <v>0</v>
      </c>
      <c r="F152" s="314"/>
      <c r="G152" s="314">
        <f t="shared" si="14"/>
        <v>0</v>
      </c>
      <c r="H152" s="314">
        <f t="shared" si="15"/>
        <v>0</v>
      </c>
    </row>
    <row r="153" spans="1:8" ht="12.75" x14ac:dyDescent="0.2">
      <c r="A153" s="572" t="s">
        <v>790</v>
      </c>
      <c r="B153" s="316"/>
      <c r="C153" s="316"/>
      <c r="D153" s="314"/>
      <c r="E153" s="314">
        <f t="shared" si="13"/>
        <v>0</v>
      </c>
      <c r="F153" s="314"/>
      <c r="G153" s="314">
        <f t="shared" si="14"/>
        <v>0</v>
      </c>
      <c r="H153" s="314">
        <f t="shared" si="15"/>
        <v>0</v>
      </c>
    </row>
    <row r="154" spans="1:8" ht="25.5" x14ac:dyDescent="0.2">
      <c r="A154" s="592" t="s">
        <v>824</v>
      </c>
      <c r="B154" s="316"/>
      <c r="C154" s="316"/>
      <c r="D154" s="314"/>
      <c r="E154" s="314">
        <f t="shared" si="13"/>
        <v>0</v>
      </c>
      <c r="F154" s="314"/>
      <c r="G154" s="314">
        <f t="shared" si="14"/>
        <v>0</v>
      </c>
      <c r="H154" s="314">
        <f t="shared" si="15"/>
        <v>0</v>
      </c>
    </row>
    <row r="155" spans="1:8" ht="12.75" x14ac:dyDescent="0.2">
      <c r="A155" s="572" t="s">
        <v>791</v>
      </c>
      <c r="B155" s="316"/>
      <c r="C155" s="316"/>
      <c r="D155" s="314"/>
      <c r="E155" s="314">
        <f t="shared" si="13"/>
        <v>0</v>
      </c>
      <c r="F155" s="314"/>
      <c r="G155" s="314">
        <f t="shared" si="14"/>
        <v>0</v>
      </c>
      <c r="H155" s="314">
        <f t="shared" si="15"/>
        <v>0</v>
      </c>
    </row>
    <row r="156" spans="1:8" ht="12.75" x14ac:dyDescent="0.2">
      <c r="A156" s="572" t="s">
        <v>792</v>
      </c>
      <c r="B156" s="316"/>
      <c r="C156" s="316"/>
      <c r="D156" s="314"/>
      <c r="E156" s="314">
        <f t="shared" si="13"/>
        <v>0</v>
      </c>
      <c r="F156" s="314"/>
      <c r="G156" s="314">
        <f t="shared" si="14"/>
        <v>0</v>
      </c>
      <c r="H156" s="314">
        <f t="shared" si="15"/>
        <v>0</v>
      </c>
    </row>
    <row r="157" spans="1:8" ht="12.75" x14ac:dyDescent="0.2">
      <c r="A157" s="572" t="s">
        <v>819</v>
      </c>
      <c r="B157" s="316"/>
      <c r="C157" s="316"/>
      <c r="D157" s="314"/>
      <c r="E157" s="314">
        <f t="shared" si="13"/>
        <v>0</v>
      </c>
      <c r="F157" s="314"/>
      <c r="G157" s="314">
        <f t="shared" si="14"/>
        <v>0</v>
      </c>
      <c r="H157" s="314">
        <f t="shared" si="15"/>
        <v>0</v>
      </c>
    </row>
    <row r="158" spans="1:8" ht="12.75" x14ac:dyDescent="0.2">
      <c r="A158" s="572" t="s">
        <v>820</v>
      </c>
      <c r="B158" s="316"/>
      <c r="C158" s="316"/>
      <c r="D158" s="314"/>
      <c r="E158" s="314">
        <f t="shared" si="13"/>
        <v>0</v>
      </c>
      <c r="F158" s="314"/>
      <c r="G158" s="314">
        <f t="shared" si="14"/>
        <v>0</v>
      </c>
      <c r="H158" s="314">
        <f t="shared" si="15"/>
        <v>0</v>
      </c>
    </row>
    <row r="159" spans="1:8" ht="12.75" x14ac:dyDescent="0.2">
      <c r="A159" s="572" t="s">
        <v>19</v>
      </c>
      <c r="B159" s="316"/>
      <c r="C159" s="316"/>
      <c r="D159" s="314"/>
      <c r="E159" s="314">
        <f t="shared" si="13"/>
        <v>0</v>
      </c>
      <c r="F159" s="314"/>
      <c r="G159" s="314">
        <f t="shared" si="14"/>
        <v>0</v>
      </c>
      <c r="H159" s="314">
        <f t="shared" si="15"/>
        <v>0</v>
      </c>
    </row>
    <row r="160" spans="1:8" ht="12.75" x14ac:dyDescent="0.2">
      <c r="A160" s="572" t="s">
        <v>20</v>
      </c>
      <c r="B160" s="316"/>
      <c r="C160" s="316"/>
      <c r="D160" s="314"/>
      <c r="E160" s="314">
        <f t="shared" si="13"/>
        <v>0</v>
      </c>
      <c r="F160" s="314"/>
      <c r="G160" s="314">
        <f t="shared" si="14"/>
        <v>0</v>
      </c>
      <c r="H160" s="314">
        <f t="shared" si="15"/>
        <v>0</v>
      </c>
    </row>
    <row r="161" spans="1:8" ht="12.75" x14ac:dyDescent="0.2">
      <c r="A161" s="572" t="s">
        <v>21</v>
      </c>
      <c r="B161" s="316">
        <f>SUM(B162:B166)</f>
        <v>2822000</v>
      </c>
      <c r="C161" s="316">
        <f>SUM(C162:C166)</f>
        <v>2822000</v>
      </c>
      <c r="D161" s="314">
        <f>SUM(D162:D166)</f>
        <v>692703.05</v>
      </c>
      <c r="E161" s="314">
        <f t="shared" si="13"/>
        <v>24.546529057406097</v>
      </c>
      <c r="F161" s="314">
        <f>SUM(F162:F166)</f>
        <v>3326270.7600000002</v>
      </c>
      <c r="G161" s="314">
        <f t="shared" si="14"/>
        <v>117.86926860382707</v>
      </c>
      <c r="H161" s="314">
        <f t="shared" si="15"/>
        <v>-504270.76000000024</v>
      </c>
    </row>
    <row r="162" spans="1:8" ht="12.75" x14ac:dyDescent="0.2">
      <c r="A162" s="572" t="s">
        <v>795</v>
      </c>
      <c r="B162" s="316">
        <v>2756000</v>
      </c>
      <c r="C162" s="316">
        <v>2756000</v>
      </c>
      <c r="D162" s="314">
        <v>681183.05</v>
      </c>
      <c r="E162" s="314">
        <f t="shared" si="13"/>
        <v>24.71636611030479</v>
      </c>
      <c r="F162" s="314">
        <v>3254659.04</v>
      </c>
      <c r="G162" s="314">
        <f t="shared" si="14"/>
        <v>118.09357910014513</v>
      </c>
      <c r="H162" s="314">
        <f t="shared" si="15"/>
        <v>-498659.04000000004</v>
      </c>
    </row>
    <row r="163" spans="1:8" ht="25.5" x14ac:dyDescent="0.2">
      <c r="A163" s="592" t="s">
        <v>825</v>
      </c>
      <c r="B163" s="316"/>
      <c r="C163" s="316"/>
      <c r="D163" s="314"/>
      <c r="E163" s="314">
        <f t="shared" si="13"/>
        <v>0</v>
      </c>
      <c r="F163" s="314"/>
      <c r="G163" s="314">
        <f t="shared" si="14"/>
        <v>0</v>
      </c>
      <c r="H163" s="314">
        <f t="shared" si="15"/>
        <v>0</v>
      </c>
    </row>
    <row r="164" spans="1:8" ht="12.75" x14ac:dyDescent="0.2">
      <c r="A164" s="572" t="s">
        <v>796</v>
      </c>
      <c r="B164" s="316"/>
      <c r="C164" s="316"/>
      <c r="D164" s="314"/>
      <c r="E164" s="314">
        <f t="shared" si="13"/>
        <v>0</v>
      </c>
      <c r="F164" s="314"/>
      <c r="G164" s="314">
        <f t="shared" si="14"/>
        <v>0</v>
      </c>
      <c r="H164" s="314">
        <f t="shared" si="15"/>
        <v>0</v>
      </c>
    </row>
    <row r="165" spans="1:8" ht="12.75" x14ac:dyDescent="0.2">
      <c r="A165" s="572" t="s">
        <v>797</v>
      </c>
      <c r="B165" s="316"/>
      <c r="C165" s="316"/>
      <c r="D165" s="314"/>
      <c r="E165" s="314">
        <f t="shared" si="13"/>
        <v>0</v>
      </c>
      <c r="F165" s="314"/>
      <c r="G165" s="314">
        <f t="shared" si="14"/>
        <v>0</v>
      </c>
      <c r="H165" s="314">
        <f t="shared" si="15"/>
        <v>0</v>
      </c>
    </row>
    <row r="166" spans="1:8" ht="12.75" x14ac:dyDescent="0.2">
      <c r="A166" s="572" t="s">
        <v>798</v>
      </c>
      <c r="B166" s="316">
        <v>66000</v>
      </c>
      <c r="C166" s="316">
        <v>66000</v>
      </c>
      <c r="D166" s="314">
        <v>11520</v>
      </c>
      <c r="E166" s="314">
        <f t="shared" si="13"/>
        <v>17.454545454545457</v>
      </c>
      <c r="F166" s="314">
        <v>71611.72</v>
      </c>
      <c r="G166" s="314">
        <f t="shared" si="14"/>
        <v>108.50260606060607</v>
      </c>
      <c r="H166" s="314">
        <f t="shared" si="15"/>
        <v>-5611.7200000000012</v>
      </c>
    </row>
    <row r="167" spans="1:8" ht="12.75" x14ac:dyDescent="0.2">
      <c r="A167" s="572" t="s">
        <v>22</v>
      </c>
      <c r="B167" s="316">
        <f>SUM(B168:B175)</f>
        <v>0</v>
      </c>
      <c r="C167" s="316">
        <f>SUM(C168:C175)</f>
        <v>0</v>
      </c>
      <c r="D167" s="314">
        <f>SUM(D168:D175)</f>
        <v>0</v>
      </c>
      <c r="E167" s="314">
        <f t="shared" si="13"/>
        <v>0</v>
      </c>
      <c r="F167" s="314">
        <f>SUM(F168:F175)</f>
        <v>0</v>
      </c>
      <c r="G167" s="314">
        <f t="shared" si="14"/>
        <v>0</v>
      </c>
      <c r="H167" s="314">
        <f t="shared" si="15"/>
        <v>0</v>
      </c>
    </row>
    <row r="168" spans="1:8" ht="25.5" x14ac:dyDescent="0.2">
      <c r="A168" s="592" t="s">
        <v>826</v>
      </c>
      <c r="B168" s="316"/>
      <c r="C168" s="316"/>
      <c r="D168" s="314"/>
      <c r="E168" s="314">
        <f t="shared" si="13"/>
        <v>0</v>
      </c>
      <c r="F168" s="314"/>
      <c r="G168" s="314">
        <f t="shared" si="14"/>
        <v>0</v>
      </c>
      <c r="H168" s="314">
        <f t="shared" si="15"/>
        <v>0</v>
      </c>
    </row>
    <row r="169" spans="1:8" ht="25.5" x14ac:dyDescent="0.2">
      <c r="A169" s="592" t="s">
        <v>827</v>
      </c>
      <c r="B169" s="316"/>
      <c r="C169" s="316"/>
      <c r="D169" s="314"/>
      <c r="E169" s="314">
        <f t="shared" si="13"/>
        <v>0</v>
      </c>
      <c r="F169" s="314"/>
      <c r="G169" s="314">
        <f t="shared" si="14"/>
        <v>0</v>
      </c>
      <c r="H169" s="314">
        <f t="shared" si="15"/>
        <v>0</v>
      </c>
    </row>
    <row r="170" spans="1:8" ht="12.75" x14ac:dyDescent="0.2">
      <c r="A170" s="572" t="s">
        <v>800</v>
      </c>
      <c r="B170" s="316"/>
      <c r="C170" s="316"/>
      <c r="D170" s="314"/>
      <c r="E170" s="314">
        <f t="shared" si="13"/>
        <v>0</v>
      </c>
      <c r="F170" s="314"/>
      <c r="G170" s="314">
        <f t="shared" si="14"/>
        <v>0</v>
      </c>
      <c r="H170" s="314">
        <f t="shared" si="15"/>
        <v>0</v>
      </c>
    </row>
    <row r="171" spans="1:8" ht="12.75" x14ac:dyDescent="0.2">
      <c r="A171" s="572" t="s">
        <v>23</v>
      </c>
      <c r="B171" s="316"/>
      <c r="C171" s="316"/>
      <c r="D171" s="314"/>
      <c r="E171" s="314">
        <f t="shared" si="13"/>
        <v>0</v>
      </c>
      <c r="F171" s="314"/>
      <c r="G171" s="314">
        <f t="shared" si="14"/>
        <v>0</v>
      </c>
      <c r="H171" s="314">
        <f t="shared" si="15"/>
        <v>0</v>
      </c>
    </row>
    <row r="172" spans="1:8" ht="12.75" x14ac:dyDescent="0.2">
      <c r="A172" s="572" t="s">
        <v>33</v>
      </c>
      <c r="B172" s="316"/>
      <c r="C172" s="316"/>
      <c r="D172" s="314"/>
      <c r="E172" s="314">
        <f t="shared" ref="E172:E203" si="16">IF(C172&gt;0,D172/C172,0)*100</f>
        <v>0</v>
      </c>
      <c r="F172" s="314"/>
      <c r="G172" s="314">
        <f t="shared" ref="G172:G203" si="17">IF(C172&gt;0,F172/C172,0)*100</f>
        <v>0</v>
      </c>
      <c r="H172" s="314">
        <f t="shared" ref="H172:H203" si="18">C172-F172</f>
        <v>0</v>
      </c>
    </row>
    <row r="173" spans="1:8" ht="12.75" x14ac:dyDescent="0.2">
      <c r="A173" s="572" t="s">
        <v>24</v>
      </c>
      <c r="B173" s="316"/>
      <c r="C173" s="316"/>
      <c r="D173" s="314"/>
      <c r="E173" s="314">
        <f t="shared" si="16"/>
        <v>0</v>
      </c>
      <c r="F173" s="314"/>
      <c r="G173" s="314">
        <f t="shared" si="17"/>
        <v>0</v>
      </c>
      <c r="H173" s="314">
        <f t="shared" si="18"/>
        <v>0</v>
      </c>
    </row>
    <row r="174" spans="1:8" ht="12.75" x14ac:dyDescent="0.2">
      <c r="A174" s="572" t="s">
        <v>801</v>
      </c>
      <c r="B174" s="316"/>
      <c r="C174" s="316"/>
      <c r="D174" s="314"/>
      <c r="E174" s="314">
        <f t="shared" si="16"/>
        <v>0</v>
      </c>
      <c r="F174" s="314"/>
      <c r="G174" s="314">
        <f t="shared" si="17"/>
        <v>0</v>
      </c>
      <c r="H174" s="314">
        <f t="shared" si="18"/>
        <v>0</v>
      </c>
    </row>
    <row r="175" spans="1:8" ht="25.5" x14ac:dyDescent="0.2">
      <c r="A175" s="600" t="s">
        <v>816</v>
      </c>
      <c r="B175" s="316"/>
      <c r="C175" s="316"/>
      <c r="D175" s="314"/>
      <c r="E175" s="314">
        <f t="shared" si="16"/>
        <v>0</v>
      </c>
      <c r="F175" s="314"/>
      <c r="G175" s="314">
        <f t="shared" si="17"/>
        <v>0</v>
      </c>
      <c r="H175" s="314">
        <f t="shared" si="18"/>
        <v>0</v>
      </c>
    </row>
    <row r="176" spans="1:8" ht="12.75" x14ac:dyDescent="0.2">
      <c r="A176" s="572" t="s">
        <v>25</v>
      </c>
      <c r="B176" s="316">
        <f>SUM(B177:B180)</f>
        <v>971000</v>
      </c>
      <c r="C176" s="316">
        <f>SUM(C177:C180)</f>
        <v>971000</v>
      </c>
      <c r="D176" s="314">
        <f>SUM(D177:D180)</f>
        <v>228171.75</v>
      </c>
      <c r="E176" s="314">
        <f t="shared" si="16"/>
        <v>23.498635427394436</v>
      </c>
      <c r="F176" s="314">
        <f>SUM(F177:F180)</f>
        <v>1356139.42</v>
      </c>
      <c r="G176" s="314">
        <f t="shared" si="17"/>
        <v>139.66420391349124</v>
      </c>
      <c r="H176" s="314">
        <f t="shared" si="18"/>
        <v>-385139.41999999993</v>
      </c>
    </row>
    <row r="177" spans="1:8" ht="12.75" x14ac:dyDescent="0.2">
      <c r="A177" s="572" t="s">
        <v>802</v>
      </c>
      <c r="B177" s="316"/>
      <c r="C177" s="316"/>
      <c r="D177" s="314"/>
      <c r="E177" s="314">
        <f t="shared" si="16"/>
        <v>0</v>
      </c>
      <c r="F177" s="314"/>
      <c r="G177" s="314">
        <f t="shared" si="17"/>
        <v>0</v>
      </c>
      <c r="H177" s="314">
        <f t="shared" si="18"/>
        <v>0</v>
      </c>
    </row>
    <row r="178" spans="1:8" ht="12.75" x14ac:dyDescent="0.2">
      <c r="A178" s="572" t="s">
        <v>803</v>
      </c>
      <c r="B178" s="316">
        <v>971000</v>
      </c>
      <c r="C178" s="316">
        <v>971000</v>
      </c>
      <c r="D178" s="314">
        <v>228171.75</v>
      </c>
      <c r="E178" s="314">
        <f t="shared" si="16"/>
        <v>23.498635427394436</v>
      </c>
      <c r="F178" s="314">
        <v>1356139.42</v>
      </c>
      <c r="G178" s="314">
        <f t="shared" si="17"/>
        <v>139.66420391349124</v>
      </c>
      <c r="H178" s="314">
        <f t="shared" si="18"/>
        <v>-385139.41999999993</v>
      </c>
    </row>
    <row r="179" spans="1:8" ht="25.5" x14ac:dyDescent="0.2">
      <c r="A179" s="592" t="s">
        <v>828</v>
      </c>
      <c r="B179" s="316"/>
      <c r="C179" s="316"/>
      <c r="D179" s="314"/>
      <c r="E179" s="314">
        <f t="shared" si="16"/>
        <v>0</v>
      </c>
      <c r="F179" s="314"/>
      <c r="G179" s="314">
        <f t="shared" si="17"/>
        <v>0</v>
      </c>
      <c r="H179" s="314">
        <f t="shared" si="18"/>
        <v>0</v>
      </c>
    </row>
    <row r="180" spans="1:8" ht="12.75" x14ac:dyDescent="0.2">
      <c r="A180" s="592" t="s">
        <v>99</v>
      </c>
      <c r="B180" s="316"/>
      <c r="C180" s="316"/>
      <c r="D180" s="314"/>
      <c r="E180" s="314">
        <f t="shared" si="16"/>
        <v>0</v>
      </c>
      <c r="F180" s="314"/>
      <c r="G180" s="314">
        <f t="shared" si="17"/>
        <v>0</v>
      </c>
      <c r="H180" s="314">
        <f t="shared" si="18"/>
        <v>0</v>
      </c>
    </row>
    <row r="181" spans="1:8" ht="12.75" x14ac:dyDescent="0.2">
      <c r="A181" s="572" t="s">
        <v>26</v>
      </c>
      <c r="B181" s="316">
        <f>B182+B185+B190+B199</f>
        <v>0</v>
      </c>
      <c r="C181" s="316">
        <f>C182+C185+C190+C199</f>
        <v>0</v>
      </c>
      <c r="D181" s="314">
        <f>D182+D185+D190+D199</f>
        <v>0</v>
      </c>
      <c r="E181" s="314">
        <f t="shared" si="16"/>
        <v>0</v>
      </c>
      <c r="F181" s="314">
        <f>F182+F185+F190+F199</f>
        <v>0</v>
      </c>
      <c r="G181" s="314">
        <f t="shared" si="17"/>
        <v>0</v>
      </c>
      <c r="H181" s="314">
        <f t="shared" si="18"/>
        <v>0</v>
      </c>
    </row>
    <row r="182" spans="1:8" ht="12.75" x14ac:dyDescent="0.2">
      <c r="A182" s="572" t="s">
        <v>27</v>
      </c>
      <c r="B182" s="316">
        <f>SUM(B183:B184)</f>
        <v>0</v>
      </c>
      <c r="C182" s="316">
        <f>SUM(C183:C184)</f>
        <v>0</v>
      </c>
      <c r="D182" s="314">
        <f>SUM(D183:D184)</f>
        <v>0</v>
      </c>
      <c r="E182" s="314">
        <f t="shared" si="16"/>
        <v>0</v>
      </c>
      <c r="F182" s="314">
        <f>SUM(F183:F184)</f>
        <v>0</v>
      </c>
      <c r="G182" s="314">
        <f t="shared" si="17"/>
        <v>0</v>
      </c>
      <c r="H182" s="314">
        <f t="shared" si="18"/>
        <v>0</v>
      </c>
    </row>
    <row r="183" spans="1:8" ht="12.75" x14ac:dyDescent="0.2">
      <c r="A183" s="572" t="s">
        <v>804</v>
      </c>
      <c r="B183" s="316"/>
      <c r="C183" s="316"/>
      <c r="D183" s="314"/>
      <c r="E183" s="314">
        <f t="shared" si="16"/>
        <v>0</v>
      </c>
      <c r="F183" s="314"/>
      <c r="G183" s="314">
        <f t="shared" si="17"/>
        <v>0</v>
      </c>
      <c r="H183" s="314">
        <f t="shared" si="18"/>
        <v>0</v>
      </c>
    </row>
    <row r="184" spans="1:8" ht="12.75" x14ac:dyDescent="0.2">
      <c r="A184" s="572" t="s">
        <v>805</v>
      </c>
      <c r="B184" s="316"/>
      <c r="C184" s="316"/>
      <c r="D184" s="314"/>
      <c r="E184" s="314">
        <f t="shared" si="16"/>
        <v>0</v>
      </c>
      <c r="F184" s="314"/>
      <c r="G184" s="314">
        <f t="shared" si="17"/>
        <v>0</v>
      </c>
      <c r="H184" s="314">
        <f t="shared" si="18"/>
        <v>0</v>
      </c>
    </row>
    <row r="185" spans="1:8" ht="12.75" x14ac:dyDescent="0.2">
      <c r="A185" s="572" t="s">
        <v>28</v>
      </c>
      <c r="B185" s="316">
        <f>SUM(B186:B189)</f>
        <v>0</v>
      </c>
      <c r="C185" s="316">
        <f>SUM(C186:C189)</f>
        <v>0</v>
      </c>
      <c r="D185" s="314">
        <f>SUM(D186:D189)</f>
        <v>0</v>
      </c>
      <c r="E185" s="314">
        <f t="shared" si="16"/>
        <v>0</v>
      </c>
      <c r="F185" s="314">
        <f>SUM(F186:F189)</f>
        <v>0</v>
      </c>
      <c r="G185" s="314">
        <f t="shared" si="17"/>
        <v>0</v>
      </c>
      <c r="H185" s="314">
        <f t="shared" si="18"/>
        <v>0</v>
      </c>
    </row>
    <row r="186" spans="1:8" ht="12.75" x14ac:dyDescent="0.2">
      <c r="A186" s="572" t="s">
        <v>29</v>
      </c>
      <c r="B186" s="316"/>
      <c r="C186" s="316"/>
      <c r="D186" s="314"/>
      <c r="E186" s="314">
        <f t="shared" si="16"/>
        <v>0</v>
      </c>
      <c r="F186" s="314"/>
      <c r="G186" s="314">
        <f t="shared" si="17"/>
        <v>0</v>
      </c>
      <c r="H186" s="314">
        <f t="shared" si="18"/>
        <v>0</v>
      </c>
    </row>
    <row r="187" spans="1:8" ht="12.75" x14ac:dyDescent="0.2">
      <c r="A187" s="572" t="s">
        <v>30</v>
      </c>
      <c r="B187" s="316"/>
      <c r="C187" s="316"/>
      <c r="D187" s="314"/>
      <c r="E187" s="314">
        <f t="shared" si="16"/>
        <v>0</v>
      </c>
      <c r="F187" s="314"/>
      <c r="G187" s="314">
        <f t="shared" si="17"/>
        <v>0</v>
      </c>
      <c r="H187" s="314">
        <f t="shared" si="18"/>
        <v>0</v>
      </c>
    </row>
    <row r="188" spans="1:8" ht="12.75" x14ac:dyDescent="0.2">
      <c r="A188" s="572" t="s">
        <v>806</v>
      </c>
      <c r="B188" s="316"/>
      <c r="C188" s="316"/>
      <c r="D188" s="314"/>
      <c r="E188" s="314">
        <f t="shared" si="16"/>
        <v>0</v>
      </c>
      <c r="F188" s="314"/>
      <c r="G188" s="314">
        <f t="shared" si="17"/>
        <v>0</v>
      </c>
      <c r="H188" s="314">
        <f t="shared" si="18"/>
        <v>0</v>
      </c>
    </row>
    <row r="189" spans="1:8" ht="12.75" x14ac:dyDescent="0.2">
      <c r="A189" s="572" t="s">
        <v>31</v>
      </c>
      <c r="B189" s="316"/>
      <c r="C189" s="316"/>
      <c r="D189" s="314"/>
      <c r="E189" s="314">
        <f t="shared" si="16"/>
        <v>0</v>
      </c>
      <c r="F189" s="314"/>
      <c r="G189" s="314">
        <f t="shared" si="17"/>
        <v>0</v>
      </c>
      <c r="H189" s="314">
        <f t="shared" si="18"/>
        <v>0</v>
      </c>
    </row>
    <row r="190" spans="1:8" ht="12.75" x14ac:dyDescent="0.2">
      <c r="A190" s="572" t="s">
        <v>32</v>
      </c>
      <c r="B190" s="316">
        <f>SUM(B191:B198)</f>
        <v>0</v>
      </c>
      <c r="C190" s="316">
        <f>SUM(C191:C198)</f>
        <v>0</v>
      </c>
      <c r="D190" s="314">
        <f>SUM(D191:D198)</f>
        <v>0</v>
      </c>
      <c r="E190" s="314">
        <f t="shared" si="16"/>
        <v>0</v>
      </c>
      <c r="F190" s="314">
        <f>SUM(F191:F198)</f>
        <v>0</v>
      </c>
      <c r="G190" s="314">
        <f t="shared" si="17"/>
        <v>0</v>
      </c>
      <c r="H190" s="314">
        <f t="shared" si="18"/>
        <v>0</v>
      </c>
    </row>
    <row r="191" spans="1:8" ht="12.75" x14ac:dyDescent="0.2">
      <c r="A191" s="572" t="s">
        <v>807</v>
      </c>
      <c r="B191" s="316"/>
      <c r="C191" s="316"/>
      <c r="D191" s="314"/>
      <c r="E191" s="314">
        <f t="shared" si="16"/>
        <v>0</v>
      </c>
      <c r="F191" s="314"/>
      <c r="G191" s="314">
        <f t="shared" si="17"/>
        <v>0</v>
      </c>
      <c r="H191" s="314">
        <f t="shared" si="18"/>
        <v>0</v>
      </c>
    </row>
    <row r="192" spans="1:8" ht="26.25" customHeight="1" x14ac:dyDescent="0.2">
      <c r="A192" s="592" t="s">
        <v>829</v>
      </c>
      <c r="B192" s="316"/>
      <c r="C192" s="316"/>
      <c r="D192" s="314"/>
      <c r="E192" s="314">
        <f t="shared" si="16"/>
        <v>0</v>
      </c>
      <c r="F192" s="314"/>
      <c r="G192" s="314">
        <f t="shared" si="17"/>
        <v>0</v>
      </c>
      <c r="H192" s="314">
        <f t="shared" si="18"/>
        <v>0</v>
      </c>
    </row>
    <row r="193" spans="1:13" ht="12.75" x14ac:dyDescent="0.2">
      <c r="A193" s="572" t="s">
        <v>800</v>
      </c>
      <c r="B193" s="316"/>
      <c r="C193" s="316"/>
      <c r="D193" s="314"/>
      <c r="E193" s="314">
        <f t="shared" si="16"/>
        <v>0</v>
      </c>
      <c r="F193" s="314"/>
      <c r="G193" s="314">
        <f t="shared" si="17"/>
        <v>0</v>
      </c>
      <c r="H193" s="314">
        <f t="shared" si="18"/>
        <v>0</v>
      </c>
    </row>
    <row r="194" spans="1:13" ht="12.75" x14ac:dyDescent="0.2">
      <c r="A194" s="572" t="s">
        <v>23</v>
      </c>
      <c r="B194" s="316"/>
      <c r="C194" s="316"/>
      <c r="D194" s="314"/>
      <c r="E194" s="314">
        <f t="shared" si="16"/>
        <v>0</v>
      </c>
      <c r="F194" s="314"/>
      <c r="G194" s="314">
        <f t="shared" si="17"/>
        <v>0</v>
      </c>
      <c r="H194" s="314">
        <f t="shared" si="18"/>
        <v>0</v>
      </c>
    </row>
    <row r="195" spans="1:13" ht="12.75" x14ac:dyDescent="0.2">
      <c r="A195" s="598" t="s">
        <v>33</v>
      </c>
      <c r="B195" s="316"/>
      <c r="C195" s="316"/>
      <c r="D195" s="314"/>
      <c r="E195" s="314">
        <f t="shared" si="16"/>
        <v>0</v>
      </c>
      <c r="F195" s="314"/>
      <c r="G195" s="314">
        <f t="shared" si="17"/>
        <v>0</v>
      </c>
      <c r="H195" s="314">
        <f t="shared" si="18"/>
        <v>0</v>
      </c>
    </row>
    <row r="196" spans="1:13" ht="12.75" x14ac:dyDescent="0.2">
      <c r="A196" s="598" t="s">
        <v>24</v>
      </c>
      <c r="B196" s="316"/>
      <c r="C196" s="316"/>
      <c r="D196" s="314"/>
      <c r="E196" s="314">
        <f t="shared" si="16"/>
        <v>0</v>
      </c>
      <c r="F196" s="314"/>
      <c r="G196" s="314">
        <f t="shared" si="17"/>
        <v>0</v>
      </c>
      <c r="H196" s="314">
        <f t="shared" si="18"/>
        <v>0</v>
      </c>
    </row>
    <row r="197" spans="1:13" ht="12.75" x14ac:dyDescent="0.2">
      <c r="A197" s="572" t="s">
        <v>801</v>
      </c>
      <c r="B197" s="316"/>
      <c r="C197" s="316"/>
      <c r="D197" s="314"/>
      <c r="E197" s="314">
        <f t="shared" si="16"/>
        <v>0</v>
      </c>
      <c r="F197" s="314"/>
      <c r="G197" s="314">
        <f t="shared" si="17"/>
        <v>0</v>
      </c>
      <c r="H197" s="314">
        <f t="shared" si="18"/>
        <v>0</v>
      </c>
    </row>
    <row r="198" spans="1:13" ht="25.5" x14ac:dyDescent="0.2">
      <c r="A198" s="598" t="s">
        <v>830</v>
      </c>
      <c r="B198" s="316"/>
      <c r="C198" s="316"/>
      <c r="D198" s="314"/>
      <c r="E198" s="314">
        <f t="shared" si="16"/>
        <v>0</v>
      </c>
      <c r="F198" s="314"/>
      <c r="G198" s="314">
        <f t="shared" si="17"/>
        <v>0</v>
      </c>
      <c r="H198" s="314">
        <f t="shared" si="18"/>
        <v>0</v>
      </c>
    </row>
    <row r="199" spans="1:13" ht="12.75" x14ac:dyDescent="0.2">
      <c r="A199" s="567" t="s">
        <v>34</v>
      </c>
      <c r="B199" s="316">
        <f>SUM(B200:B204)</f>
        <v>0</v>
      </c>
      <c r="C199" s="316">
        <f>SUM(C200:C204)</f>
        <v>0</v>
      </c>
      <c r="D199" s="314">
        <f>SUM(D200:D204)</f>
        <v>0</v>
      </c>
      <c r="E199" s="314">
        <f t="shared" si="16"/>
        <v>0</v>
      </c>
      <c r="F199" s="314">
        <f>SUM(F200:F204)</f>
        <v>0</v>
      </c>
      <c r="G199" s="314">
        <f t="shared" si="17"/>
        <v>0</v>
      </c>
      <c r="H199" s="314">
        <f t="shared" si="18"/>
        <v>0</v>
      </c>
    </row>
    <row r="200" spans="1:13" ht="12.75" x14ac:dyDescent="0.2">
      <c r="A200" s="567" t="s">
        <v>35</v>
      </c>
      <c r="B200" s="316"/>
      <c r="C200" s="316"/>
      <c r="D200" s="314"/>
      <c r="E200" s="314">
        <f t="shared" si="16"/>
        <v>0</v>
      </c>
      <c r="F200" s="314"/>
      <c r="G200" s="314">
        <f t="shared" si="17"/>
        <v>0</v>
      </c>
      <c r="H200" s="314">
        <f t="shared" si="18"/>
        <v>0</v>
      </c>
    </row>
    <row r="201" spans="1:13" ht="12.75" x14ac:dyDescent="0.2">
      <c r="A201" s="568" t="s">
        <v>808</v>
      </c>
      <c r="B201" s="316"/>
      <c r="C201" s="316"/>
      <c r="D201" s="314"/>
      <c r="E201" s="314">
        <f t="shared" si="16"/>
        <v>0</v>
      </c>
      <c r="F201" s="314"/>
      <c r="G201" s="314">
        <f t="shared" si="17"/>
        <v>0</v>
      </c>
      <c r="H201" s="314">
        <f t="shared" si="18"/>
        <v>0</v>
      </c>
    </row>
    <row r="202" spans="1:13" ht="12.75" x14ac:dyDescent="0.2">
      <c r="A202" s="568" t="s">
        <v>821</v>
      </c>
      <c r="B202" s="316"/>
      <c r="C202" s="316"/>
      <c r="D202" s="314"/>
      <c r="E202" s="314">
        <f t="shared" si="16"/>
        <v>0</v>
      </c>
      <c r="F202" s="314"/>
      <c r="G202" s="314">
        <f t="shared" si="17"/>
        <v>0</v>
      </c>
      <c r="H202" s="314">
        <f t="shared" si="18"/>
        <v>0</v>
      </c>
    </row>
    <row r="203" spans="1:13" ht="12.75" x14ac:dyDescent="0.2">
      <c r="A203" s="599" t="s">
        <v>822</v>
      </c>
      <c r="B203" s="317"/>
      <c r="C203" s="317"/>
      <c r="D203" s="317"/>
      <c r="E203" s="317">
        <f t="shared" si="16"/>
        <v>0</v>
      </c>
      <c r="F203" s="317"/>
      <c r="G203" s="317">
        <f t="shared" si="17"/>
        <v>0</v>
      </c>
      <c r="H203" s="317">
        <f t="shared" si="18"/>
        <v>0</v>
      </c>
    </row>
    <row r="204" spans="1:13" ht="12.75" x14ac:dyDescent="0.2">
      <c r="A204" s="435"/>
      <c r="B204" s="23"/>
      <c r="C204" s="23"/>
      <c r="D204" s="23"/>
      <c r="E204" s="23"/>
      <c r="F204" s="23"/>
      <c r="G204" s="23"/>
      <c r="H204" s="23"/>
    </row>
    <row r="205" spans="1:13" ht="12.75" x14ac:dyDescent="0.2">
      <c r="A205" s="435"/>
      <c r="B205" s="23"/>
      <c r="C205" s="23"/>
      <c r="D205" s="23"/>
      <c r="E205" s="23"/>
      <c r="F205" s="23"/>
      <c r="G205" s="23"/>
      <c r="H205" s="23"/>
    </row>
    <row r="206" spans="1:13" ht="12.75" x14ac:dyDescent="0.2">
      <c r="A206" s="435"/>
      <c r="B206" s="23"/>
      <c r="C206" s="23"/>
      <c r="D206" s="23"/>
      <c r="E206" s="23"/>
      <c r="F206" s="23"/>
      <c r="G206" s="23"/>
      <c r="H206" s="23"/>
    </row>
    <row r="207" spans="1:13" ht="12.75" x14ac:dyDescent="0.2">
      <c r="A207" s="435"/>
      <c r="B207" s="23"/>
      <c r="C207" s="23"/>
      <c r="D207" s="23"/>
      <c r="E207" s="23"/>
      <c r="F207" s="23"/>
      <c r="G207" s="23"/>
      <c r="H207" s="23"/>
    </row>
    <row r="208" spans="1:13" s="41" customFormat="1" ht="12.75" x14ac:dyDescent="0.2">
      <c r="M208" s="25"/>
    </row>
    <row r="209" spans="1:11" ht="12.75" customHeight="1" x14ac:dyDescent="0.2">
      <c r="A209" s="165"/>
      <c r="B209" s="166" t="s">
        <v>109</v>
      </c>
      <c r="C209" s="166" t="s">
        <v>109</v>
      </c>
      <c r="D209" s="913" t="s">
        <v>110</v>
      </c>
      <c r="E209" s="914"/>
      <c r="F209" s="167" t="s">
        <v>113</v>
      </c>
      <c r="G209" s="913" t="s">
        <v>111</v>
      </c>
      <c r="H209" s="915"/>
      <c r="I209" s="167" t="s">
        <v>113</v>
      </c>
      <c r="J209" s="916" t="s">
        <v>924</v>
      </c>
      <c r="K209" s="910" t="s">
        <v>675</v>
      </c>
    </row>
    <row r="210" spans="1:11" ht="28.5" customHeight="1" x14ac:dyDescent="0.2">
      <c r="A210" s="168" t="s">
        <v>668</v>
      </c>
      <c r="B210" s="169" t="s">
        <v>80</v>
      </c>
      <c r="C210" s="169" t="s">
        <v>81</v>
      </c>
      <c r="D210" s="171" t="str">
        <f>D138</f>
        <v>No Bimestre</v>
      </c>
      <c r="E210" s="170" t="str">
        <f>F138</f>
        <v>Até o  Bimestre</v>
      </c>
      <c r="F210" s="171"/>
      <c r="G210" s="171" t="str">
        <f>D210</f>
        <v>No Bimestre</v>
      </c>
      <c r="H210" s="170" t="str">
        <f>E210</f>
        <v>Até o  Bimestre</v>
      </c>
      <c r="I210" s="171"/>
      <c r="J210" s="917"/>
      <c r="K210" s="911"/>
    </row>
    <row r="211" spans="1:11" ht="25.5" customHeight="1" x14ac:dyDescent="0.2">
      <c r="A211" s="172"/>
      <c r="B211" s="174" t="s">
        <v>114</v>
      </c>
      <c r="C211" s="174" t="s">
        <v>115</v>
      </c>
      <c r="D211" s="174"/>
      <c r="E211" s="174" t="s">
        <v>200</v>
      </c>
      <c r="F211" s="175" t="s">
        <v>672</v>
      </c>
      <c r="G211" s="173"/>
      <c r="H211" s="173" t="s">
        <v>117</v>
      </c>
      <c r="I211" s="175" t="s">
        <v>673</v>
      </c>
      <c r="J211" s="173" t="s">
        <v>350</v>
      </c>
      <c r="K211" s="912"/>
    </row>
    <row r="212" spans="1:11" ht="12.75" x14ac:dyDescent="0.2">
      <c r="A212" s="137" t="s">
        <v>661</v>
      </c>
      <c r="B212" s="562">
        <f>B213+B217+B221</f>
        <v>89396600</v>
      </c>
      <c r="C212" s="312">
        <f>C213+C217+C221</f>
        <v>104660438.86</v>
      </c>
      <c r="D212" s="562">
        <f>D213+D217+D221</f>
        <v>20866367.130000003</v>
      </c>
      <c r="E212" s="312">
        <f>E213+E217+E221</f>
        <v>101601998.72999999</v>
      </c>
      <c r="F212" s="562">
        <f t="shared" ref="F212:F221" si="19">C212-E212</f>
        <v>3058440.1300000101</v>
      </c>
      <c r="G212" s="312">
        <f>G213+G217+G221</f>
        <v>24370584.420000002</v>
      </c>
      <c r="H212" s="562">
        <f>H213+H217+H221</f>
        <v>100947826.84999999</v>
      </c>
      <c r="I212" s="312">
        <f t="shared" ref="I212:I221" si="20">C212-H212</f>
        <v>3712612.0100000054</v>
      </c>
      <c r="J212" s="312">
        <f>J213+J217+J221</f>
        <v>87271551.00999999</v>
      </c>
      <c r="K212" s="375">
        <f>K213+K217+K221</f>
        <v>654171.88</v>
      </c>
    </row>
    <row r="213" spans="1:11" ht="12.75" x14ac:dyDescent="0.2">
      <c r="A213" s="42" t="s">
        <v>61</v>
      </c>
      <c r="B213" s="313">
        <f>SUM(B214:B216)</f>
        <v>89396600</v>
      </c>
      <c r="C213" s="314">
        <f>SUM(C214:C216)</f>
        <v>104660438.86</v>
      </c>
      <c r="D213" s="313">
        <f>SUM(D214:D216)</f>
        <v>20866367.130000003</v>
      </c>
      <c r="E213" s="314">
        <f>SUM(E214:E216)</f>
        <v>101601998.72999999</v>
      </c>
      <c r="F213" s="313">
        <f t="shared" si="19"/>
        <v>3058440.1300000101</v>
      </c>
      <c r="G213" s="314">
        <f>SUM(G214:G216)</f>
        <v>24370584.420000002</v>
      </c>
      <c r="H213" s="313">
        <f>SUM(H214:H216)</f>
        <v>100947826.84999999</v>
      </c>
      <c r="I213" s="314">
        <f t="shared" si="20"/>
        <v>3712612.0100000054</v>
      </c>
      <c r="J213" s="314">
        <f>SUM(J214:J216)</f>
        <v>87271551.00999999</v>
      </c>
      <c r="K213" s="375">
        <f>SUM(K214:K216)</f>
        <v>654171.88</v>
      </c>
    </row>
    <row r="214" spans="1:11" ht="12.75" x14ac:dyDescent="0.2">
      <c r="A214" s="42" t="s">
        <v>62</v>
      </c>
      <c r="B214" s="313">
        <v>50453500</v>
      </c>
      <c r="C214" s="314">
        <v>60974500</v>
      </c>
      <c r="D214" s="313">
        <v>12792311.050000001</v>
      </c>
      <c r="E214" s="314">
        <v>58787054.159999996</v>
      </c>
      <c r="F214" s="313">
        <f t="shared" si="19"/>
        <v>2187445.8400000036</v>
      </c>
      <c r="G214" s="314">
        <v>14439126.32</v>
      </c>
      <c r="H214" s="313">
        <v>58787054.159999996</v>
      </c>
      <c r="I214" s="314">
        <f t="shared" si="20"/>
        <v>2187445.8400000036</v>
      </c>
      <c r="J214" s="314">
        <v>50322092.460000001</v>
      </c>
      <c r="K214" s="375">
        <v>0</v>
      </c>
    </row>
    <row r="215" spans="1:11" ht="12.75" x14ac:dyDescent="0.2">
      <c r="A215" s="42" t="s">
        <v>63</v>
      </c>
      <c r="B215" s="313"/>
      <c r="C215" s="314"/>
      <c r="D215" s="313"/>
      <c r="E215" s="314"/>
      <c r="F215" s="313">
        <f t="shared" si="19"/>
        <v>0</v>
      </c>
      <c r="G215" s="314"/>
      <c r="H215" s="313"/>
      <c r="I215" s="314">
        <f t="shared" si="20"/>
        <v>0</v>
      </c>
      <c r="J215" s="314"/>
      <c r="K215" s="375"/>
    </row>
    <row r="216" spans="1:11" ht="12.75" x14ac:dyDescent="0.2">
      <c r="A216" s="42" t="s">
        <v>64</v>
      </c>
      <c r="B216" s="313">
        <v>38943100</v>
      </c>
      <c r="C216" s="314">
        <v>43685938.859999999</v>
      </c>
      <c r="D216" s="313">
        <v>8074056.0800000001</v>
      </c>
      <c r="E216" s="314">
        <v>42814944.57</v>
      </c>
      <c r="F216" s="313">
        <f t="shared" si="19"/>
        <v>870994.28999999911</v>
      </c>
      <c r="G216" s="314">
        <v>9931458.0999999996</v>
      </c>
      <c r="H216" s="313">
        <v>42160772.689999998</v>
      </c>
      <c r="I216" s="314">
        <f t="shared" si="20"/>
        <v>1525166.1700000018</v>
      </c>
      <c r="J216" s="314">
        <v>36949458.549999997</v>
      </c>
      <c r="K216" s="375">
        <v>654171.88</v>
      </c>
    </row>
    <row r="217" spans="1:11" ht="12.75" x14ac:dyDescent="0.2">
      <c r="A217" s="42" t="s">
        <v>65</v>
      </c>
      <c r="B217" s="313">
        <f>SUM(B218:B221)</f>
        <v>0</v>
      </c>
      <c r="C217" s="314">
        <f>SUM(C218:C221)</f>
        <v>0</v>
      </c>
      <c r="D217" s="313">
        <f>SUM(D218:D221)</f>
        <v>0</v>
      </c>
      <c r="E217" s="314">
        <f>SUM(E218:E221)</f>
        <v>0</v>
      </c>
      <c r="F217" s="313">
        <f t="shared" si="19"/>
        <v>0</v>
      </c>
      <c r="G217" s="314">
        <f>SUM(G218:G221)</f>
        <v>0</v>
      </c>
      <c r="H217" s="313">
        <f>SUM(H218:H221)</f>
        <v>0</v>
      </c>
      <c r="I217" s="314">
        <f t="shared" si="20"/>
        <v>0</v>
      </c>
      <c r="J217" s="314">
        <f>SUM(J218:J221)</f>
        <v>0</v>
      </c>
      <c r="K217" s="375">
        <f>SUM(K218:K221)</f>
        <v>0</v>
      </c>
    </row>
    <row r="218" spans="1:11" ht="12.75" x14ac:dyDescent="0.2">
      <c r="A218" s="42" t="s">
        <v>66</v>
      </c>
      <c r="B218" s="313"/>
      <c r="C218" s="314"/>
      <c r="D218" s="313"/>
      <c r="E218" s="314"/>
      <c r="F218" s="313">
        <f t="shared" si="19"/>
        <v>0</v>
      </c>
      <c r="G218" s="314"/>
      <c r="H218" s="313"/>
      <c r="I218" s="314">
        <f t="shared" si="20"/>
        <v>0</v>
      </c>
      <c r="J218" s="314"/>
      <c r="K218" s="375"/>
    </row>
    <row r="219" spans="1:11" ht="11.25" customHeight="1" x14ac:dyDescent="0.2">
      <c r="A219" s="42" t="s">
        <v>67</v>
      </c>
      <c r="B219" s="313"/>
      <c r="C219" s="314"/>
      <c r="D219" s="313"/>
      <c r="E219" s="314"/>
      <c r="F219" s="313">
        <f t="shared" si="19"/>
        <v>0</v>
      </c>
      <c r="G219" s="314"/>
      <c r="H219" s="313"/>
      <c r="I219" s="314">
        <f t="shared" si="20"/>
        <v>0</v>
      </c>
      <c r="J219" s="314"/>
      <c r="K219" s="375"/>
    </row>
    <row r="220" spans="1:11" ht="11.25" customHeight="1" x14ac:dyDescent="0.2">
      <c r="A220" s="42" t="s">
        <v>68</v>
      </c>
      <c r="B220" s="831"/>
      <c r="C220" s="814"/>
      <c r="D220" s="814"/>
      <c r="E220" s="814"/>
      <c r="F220" s="831">
        <f t="shared" si="19"/>
        <v>0</v>
      </c>
      <c r="G220" s="814"/>
      <c r="H220" s="831"/>
      <c r="I220" s="814">
        <f t="shared" si="20"/>
        <v>0</v>
      </c>
      <c r="J220" s="812"/>
      <c r="K220" s="814"/>
    </row>
    <row r="221" spans="1:11" ht="11.25" customHeight="1" x14ac:dyDescent="0.2">
      <c r="A221" s="127" t="s">
        <v>69</v>
      </c>
      <c r="B221" s="832"/>
      <c r="C221" s="817"/>
      <c r="D221" s="817"/>
      <c r="E221" s="817"/>
      <c r="F221" s="832">
        <f t="shared" si="19"/>
        <v>0</v>
      </c>
      <c r="G221" s="817"/>
      <c r="H221" s="832"/>
      <c r="I221" s="817">
        <f t="shared" si="20"/>
        <v>0</v>
      </c>
      <c r="J221" s="833"/>
      <c r="K221" s="817"/>
    </row>
    <row r="222" spans="1:11" ht="11.25" customHeight="1" x14ac:dyDescent="0.2">
      <c r="A222" s="41" t="str">
        <f>A131</f>
        <v>FONTE: Sistema CECAM, Unidade Responsável: CONTABILIDADE. Emissão: 24/01/2020, às 14:06:13. Assinado Digitalmente no dia 24/01/2020, às 14:06:13.</v>
      </c>
    </row>
    <row r="223" spans="1:11" ht="11.25" customHeight="1" x14ac:dyDescent="0.2">
      <c r="A223" s="41" t="str">
        <f>A132</f>
        <v>1 Essa coluna poderá ser apresentada somente no último bimestre</v>
      </c>
    </row>
    <row r="227" spans="1:11" s="868" customFormat="1" ht="11.25" customHeight="1" x14ac:dyDescent="0.2">
      <c r="A227" s="872" t="s">
        <v>1024</v>
      </c>
      <c r="B227" s="881"/>
      <c r="C227" s="881"/>
      <c r="D227" s="881" t="s">
        <v>1026</v>
      </c>
      <c r="E227" s="881"/>
      <c r="F227" s="882"/>
      <c r="G227" s="882"/>
      <c r="H227" s="903" t="s">
        <v>1028</v>
      </c>
      <c r="I227" s="903"/>
      <c r="J227" s="873"/>
    </row>
    <row r="228" spans="1:11" s="868" customFormat="1" ht="11.25" customHeight="1" x14ac:dyDescent="0.2">
      <c r="A228" s="872" t="s">
        <v>1025</v>
      </c>
      <c r="B228" s="882"/>
      <c r="C228" s="882"/>
      <c r="D228" s="881" t="s">
        <v>1027</v>
      </c>
      <c r="E228" s="881"/>
      <c r="F228" s="882"/>
      <c r="G228" s="882"/>
      <c r="H228" s="872" t="s">
        <v>1029</v>
      </c>
      <c r="I228" s="881"/>
      <c r="J228" s="873"/>
    </row>
    <row r="229" spans="1:11" s="868" customFormat="1" ht="11.25" customHeight="1" x14ac:dyDescent="0.2">
      <c r="D229" s="868" t="s">
        <v>1040</v>
      </c>
      <c r="H229" s="904" t="s">
        <v>1041</v>
      </c>
      <c r="I229" s="904"/>
      <c r="J229" s="869"/>
      <c r="K229" s="869"/>
    </row>
  </sheetData>
  <dataConsolidate/>
  <mergeCells count="15">
    <mergeCell ref="K209:K211"/>
    <mergeCell ref="K105:K107"/>
    <mergeCell ref="D209:E209"/>
    <mergeCell ref="G209:H209"/>
    <mergeCell ref="J209:J210"/>
    <mergeCell ref="A131:K131"/>
    <mergeCell ref="D105:E105"/>
    <mergeCell ref="G105:H105"/>
    <mergeCell ref="J105:J106"/>
    <mergeCell ref="H227:I227"/>
    <mergeCell ref="H229:I229"/>
    <mergeCell ref="B18:B20"/>
    <mergeCell ref="D18:G18"/>
    <mergeCell ref="B137:B139"/>
    <mergeCell ref="D137:G13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L421"/>
  <sheetViews>
    <sheetView showGridLines="0" zoomScaleNormal="100" workbookViewId="0"/>
  </sheetViews>
  <sheetFormatPr defaultColWidth="7.85546875" defaultRowHeight="11.25" customHeight="1" x14ac:dyDescent="0.2"/>
  <cols>
    <col min="1" max="1" width="46.7109375" style="49" customWidth="1"/>
    <col min="2" max="2" width="14" style="49" customWidth="1"/>
    <col min="3" max="3" width="14.28515625" style="49" bestFit="1" customWidth="1"/>
    <col min="4" max="4" width="13.42578125" style="49" customWidth="1"/>
    <col min="5" max="5" width="14.28515625" style="49" bestFit="1" customWidth="1"/>
    <col min="6" max="8" width="13.42578125" style="49" customWidth="1"/>
    <col min="9" max="9" width="15.42578125" style="49" customWidth="1"/>
    <col min="10" max="11" width="13.42578125" style="49" customWidth="1"/>
    <col min="12" max="12" width="14.28515625" style="49" customWidth="1"/>
    <col min="13" max="16384" width="7.85546875" style="50"/>
  </cols>
  <sheetData>
    <row r="1" spans="1:12" ht="12.75" x14ac:dyDescent="0.2"/>
    <row r="2" spans="1:12" ht="25.5" customHeight="1" x14ac:dyDescent="0.35">
      <c r="A2" s="844" t="s">
        <v>1019</v>
      </c>
    </row>
    <row r="3" spans="1:12" ht="15.75" customHeight="1" x14ac:dyDescent="0.25">
      <c r="A3" s="845" t="s">
        <v>1020</v>
      </c>
    </row>
    <row r="4" spans="1:12" ht="15.75" customHeight="1" x14ac:dyDescent="0.25">
      <c r="A4" s="845" t="s">
        <v>1021</v>
      </c>
    </row>
    <row r="5" spans="1:12" ht="15.75" customHeight="1" x14ac:dyDescent="0.25">
      <c r="A5" s="845" t="s">
        <v>1022</v>
      </c>
    </row>
    <row r="6" spans="1:12" ht="15.75" x14ac:dyDescent="0.25">
      <c r="A6" s="45" t="s">
        <v>89</v>
      </c>
    </row>
    <row r="7" spans="1:12" ht="12.75" x14ac:dyDescent="0.2">
      <c r="A7" s="24"/>
    </row>
    <row r="8" spans="1:12" ht="12.75" x14ac:dyDescent="0.2">
      <c r="A8" s="843" t="s">
        <v>1019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</row>
    <row r="9" spans="1:12" ht="12.75" x14ac:dyDescent="0.2">
      <c r="A9" s="216" t="s">
        <v>74</v>
      </c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</row>
    <row r="10" spans="1:12" ht="12.75" x14ac:dyDescent="0.2">
      <c r="A10" s="217" t="s">
        <v>120</v>
      </c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</row>
    <row r="11" spans="1:12" ht="12.75" x14ac:dyDescent="0.2">
      <c r="A11" s="920" t="s">
        <v>76</v>
      </c>
      <c r="B11" s="920"/>
      <c r="C11" s="920"/>
      <c r="D11" s="920"/>
      <c r="E11" s="920"/>
      <c r="F11" s="920"/>
      <c r="G11" s="920"/>
      <c r="H11" s="920"/>
      <c r="I11" s="920"/>
      <c r="J11" s="920"/>
      <c r="K11" s="920"/>
      <c r="L11" s="920"/>
    </row>
    <row r="12" spans="1:12" ht="12.75" x14ac:dyDescent="0.2">
      <c r="A12" s="846" t="s">
        <v>1023</v>
      </c>
      <c r="B12" s="764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2" ht="12.75" hidden="1" x14ac:dyDescent="0.2">
      <c r="A13" s="922"/>
      <c r="B13" s="922"/>
      <c r="C13" s="922"/>
      <c r="D13" s="922"/>
      <c r="E13" s="922"/>
      <c r="F13" s="922"/>
      <c r="G13" s="922"/>
      <c r="H13" s="922"/>
      <c r="I13" s="922"/>
      <c r="J13" s="922"/>
      <c r="K13" s="922"/>
      <c r="L13" s="922"/>
    </row>
    <row r="14" spans="1:12" ht="12.75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ht="12.75" x14ac:dyDescent="0.2">
      <c r="A15" s="29" t="s">
        <v>358</v>
      </c>
      <c r="B15" s="51"/>
      <c r="C15" s="50"/>
      <c r="D15" s="50"/>
      <c r="E15" s="52"/>
      <c r="F15" s="52"/>
      <c r="G15" s="52"/>
      <c r="H15" s="52"/>
      <c r="I15" s="50"/>
      <c r="J15" s="50"/>
      <c r="K15" s="50"/>
      <c r="L15" s="34" t="s">
        <v>417</v>
      </c>
    </row>
    <row r="16" spans="1:12" ht="18" customHeight="1" x14ac:dyDescent="0.2">
      <c r="A16" s="63"/>
      <c r="B16" s="176" t="s">
        <v>109</v>
      </c>
      <c r="C16" s="176" t="s">
        <v>109</v>
      </c>
      <c r="D16" s="926" t="s">
        <v>110</v>
      </c>
      <c r="E16" s="927"/>
      <c r="F16" s="928"/>
      <c r="G16" s="177" t="s">
        <v>113</v>
      </c>
      <c r="H16" s="929" t="s">
        <v>111</v>
      </c>
      <c r="I16" s="930"/>
      <c r="J16" s="931"/>
      <c r="K16" s="177" t="s">
        <v>113</v>
      </c>
      <c r="L16" s="932" t="s">
        <v>926</v>
      </c>
    </row>
    <row r="17" spans="1:12" ht="17.25" customHeight="1" x14ac:dyDescent="0.2">
      <c r="A17" s="181" t="s">
        <v>121</v>
      </c>
      <c r="B17" s="178" t="s">
        <v>80</v>
      </c>
      <c r="C17" s="178" t="s">
        <v>81</v>
      </c>
      <c r="D17" s="176" t="str">
        <f>CONCATENATE("No ", B12)</f>
        <v>No Bimestre</v>
      </c>
      <c r="E17" s="176" t="str">
        <f>CONCATENATE("Até o  ", B12)</f>
        <v>Até o  Bimestre</v>
      </c>
      <c r="F17" s="176" t="s">
        <v>83</v>
      </c>
      <c r="G17" s="67"/>
      <c r="H17" s="176" t="str">
        <f>CONCATENATE("No ", B12)</f>
        <v>No Bimestre</v>
      </c>
      <c r="I17" s="176" t="str">
        <f>CONCATENATE("Até o  ", B12)</f>
        <v>Até o  Bimestre</v>
      </c>
      <c r="J17" s="176" t="s">
        <v>83</v>
      </c>
      <c r="K17" s="67"/>
      <c r="L17" s="933"/>
    </row>
    <row r="18" spans="1:12" s="28" customFormat="1" ht="18" customHeight="1" x14ac:dyDescent="0.2">
      <c r="A18" s="68"/>
      <c r="B18" s="179"/>
      <c r="C18" s="180" t="s">
        <v>85</v>
      </c>
      <c r="D18" s="180"/>
      <c r="E18" s="180" t="s">
        <v>86</v>
      </c>
      <c r="F18" s="180" t="s">
        <v>39</v>
      </c>
      <c r="G18" s="71" t="s">
        <v>278</v>
      </c>
      <c r="H18" s="180"/>
      <c r="I18" s="180" t="s">
        <v>114</v>
      </c>
      <c r="J18" s="180" t="s">
        <v>677</v>
      </c>
      <c r="K18" s="71" t="s">
        <v>676</v>
      </c>
      <c r="L18" s="934"/>
    </row>
    <row r="19" spans="1:12" s="28" customFormat="1" ht="12.75" x14ac:dyDescent="0.2">
      <c r="A19" s="53" t="s">
        <v>175</v>
      </c>
      <c r="B19" s="314">
        <f>B20+B25+B30+B35+B48+B54+B60+B65+B72+B79+B88+B95+B106+B111+B117+B123+B128+B133+B141+B147+B155+B160+B168+B176+B181+B188+B196+B202+B211</f>
        <v>989603400</v>
      </c>
      <c r="C19" s="314">
        <f>C20+C25+C30+C35+C48+C54+C60+C65+C72+C79+C88+C95+C106+C111+C117+C123+C128+C133+C141+C147+C155+C160+C168+C176+C181+C188+C196+C202+C211</f>
        <v>1269706530.45</v>
      </c>
      <c r="D19" s="314">
        <f>D20+D25+D30+D35+D48+D54+D60+D65+D72+D79+D88+D95+D106+D111+D117+D123+D128+D133+D141+D147+D155+D160+D168+D176+D181+D188+D196+D202+D211</f>
        <v>142730606.74000001</v>
      </c>
      <c r="E19" s="314">
        <f>E20+E25+E30+E35+E48+E54+E60+E65+E72+E79+E88+E95+E106+E111+E117+E123+E128+E133+E141+E147+E155+E160+E168+E176+E181+E188+E196+E202+E211</f>
        <v>1135031186.53</v>
      </c>
      <c r="F19" s="314">
        <f t="shared" ref="F19:F50" si="0">IF($E$213&gt;0,E19/$E$213,0)*100</f>
        <v>91.783982514698707</v>
      </c>
      <c r="G19" s="314">
        <f>G20+G25+G30+G35+G48+G54+G60+G65+G72+G79+G88+G95+G106+G111+G117+G123+G128+G133+G141+G147+G155+G160+G168+G176+G181+G188+G196+G202+G211</f>
        <v>134675343.92000002</v>
      </c>
      <c r="H19" s="314">
        <f>H20+H25+H30+H35+H48+H54+H60+H65+H72+H79+H88+H95+H106+H111+H117+H123+H128+H133+H141+H147+H155+H160+H168+H176+H181+H188+H196+H202+H211</f>
        <v>202321326.56999996</v>
      </c>
      <c r="I19" s="314">
        <f>I20+I25+I30+I35+I48+I54+I60+I65+I72+I79+I88+I95+I106+I111+I117+I123+I128+I133+I141+I147+I155+I160+I168+I176+I181+I188+I196+I202+I211</f>
        <v>1065998748.88</v>
      </c>
      <c r="J19" s="316">
        <f t="shared" ref="J19:J50" si="1">IF($I$213&gt;0,I19/$I$213,0)*100</f>
        <v>91.349404595763033</v>
      </c>
      <c r="K19" s="316">
        <f>K20+K25+K30+K35+K48+K54+K60+K65+K72+K79+K88+K95+K106+K111+K117+K123+K128+K133+K141+K147+K155+K160+K168+K176+K181+K188+K196+K202+K211</f>
        <v>203707781.56999999</v>
      </c>
      <c r="L19" s="312">
        <f>L20+L25+L30+L35+L48+L54+L60+L65+L72+L79+L88+L95+L106+L111+L117+L123+L128+L133+L141+L147+L155+L160+L168+L176+L181+L188+L196+L202+L211</f>
        <v>69032437.650000006</v>
      </c>
    </row>
    <row r="20" spans="1:12" s="28" customFormat="1" ht="12.75" x14ac:dyDescent="0.2">
      <c r="A20" s="54" t="s">
        <v>269</v>
      </c>
      <c r="B20" s="314">
        <f>SUM(B21:B24)</f>
        <v>14125000</v>
      </c>
      <c r="C20" s="314">
        <f>SUM(C21:C24)</f>
        <v>13846500</v>
      </c>
      <c r="D20" s="314">
        <f>SUM(D21:D24)</f>
        <v>2976471.23</v>
      </c>
      <c r="E20" s="314">
        <f>SUM(E21:E24)</f>
        <v>12856585.66</v>
      </c>
      <c r="F20" s="314">
        <f t="shared" si="0"/>
        <v>1.0396442383435573</v>
      </c>
      <c r="G20" s="314">
        <f>SUM(G21:G24)</f>
        <v>989914.33999999985</v>
      </c>
      <c r="H20" s="314">
        <f>SUM(H21:H24)</f>
        <v>2264499.14</v>
      </c>
      <c r="I20" s="314">
        <f>SUM(I21:I24)</f>
        <v>11284756.210000001</v>
      </c>
      <c r="J20" s="316">
        <f t="shared" si="1"/>
        <v>0.96703280550274229</v>
      </c>
      <c r="K20" s="316">
        <f>SUM(K21:K24)</f>
        <v>2561743.7899999991</v>
      </c>
      <c r="L20" s="314">
        <f>SUM(L21:L24)</f>
        <v>1571829.45</v>
      </c>
    </row>
    <row r="21" spans="1:12" ht="12.75" x14ac:dyDescent="0.2">
      <c r="A21" s="87" t="s">
        <v>418</v>
      </c>
      <c r="B21" s="375">
        <v>14125000</v>
      </c>
      <c r="C21" s="314">
        <v>13846500</v>
      </c>
      <c r="D21" s="314">
        <v>2976471.23</v>
      </c>
      <c r="E21" s="314">
        <v>12856585.66</v>
      </c>
      <c r="F21" s="314">
        <f t="shared" si="0"/>
        <v>1.0396442383435573</v>
      </c>
      <c r="G21" s="314">
        <f>C21-E21</f>
        <v>989914.33999999985</v>
      </c>
      <c r="H21" s="314">
        <v>2264499.14</v>
      </c>
      <c r="I21" s="314">
        <v>11284756.210000001</v>
      </c>
      <c r="J21" s="316">
        <f t="shared" si="1"/>
        <v>0.96703280550274229</v>
      </c>
      <c r="K21" s="316">
        <f>C21-I21</f>
        <v>2561743.7899999991</v>
      </c>
      <c r="L21" s="314">
        <v>1571829.45</v>
      </c>
    </row>
    <row r="22" spans="1:12" ht="12.75" x14ac:dyDescent="0.2">
      <c r="A22" s="87" t="s">
        <v>419</v>
      </c>
      <c r="B22" s="375"/>
      <c r="C22" s="314"/>
      <c r="D22" s="314"/>
      <c r="E22" s="314"/>
      <c r="F22" s="314">
        <f t="shared" si="0"/>
        <v>0</v>
      </c>
      <c r="G22" s="314">
        <f>C22-E22</f>
        <v>0</v>
      </c>
      <c r="H22" s="314"/>
      <c r="I22" s="314"/>
      <c r="J22" s="316">
        <f t="shared" si="1"/>
        <v>0</v>
      </c>
      <c r="K22" s="316">
        <f>C22-I22</f>
        <v>0</v>
      </c>
      <c r="L22" s="314"/>
    </row>
    <row r="23" spans="1:12" ht="12.75" x14ac:dyDescent="0.2">
      <c r="A23" s="87" t="s">
        <v>426</v>
      </c>
      <c r="B23" s="375"/>
      <c r="C23" s="314"/>
      <c r="D23" s="314"/>
      <c r="E23" s="314"/>
      <c r="F23" s="314">
        <f t="shared" si="0"/>
        <v>0</v>
      </c>
      <c r="G23" s="314">
        <f>C23-E23</f>
        <v>0</v>
      </c>
      <c r="H23" s="314"/>
      <c r="I23" s="314"/>
      <c r="J23" s="316">
        <f t="shared" si="1"/>
        <v>0</v>
      </c>
      <c r="K23" s="316">
        <f>C23-I23</f>
        <v>0</v>
      </c>
      <c r="L23" s="314"/>
    </row>
    <row r="24" spans="1:12" ht="12.75" x14ac:dyDescent="0.2">
      <c r="A24" s="87" t="s">
        <v>420</v>
      </c>
      <c r="B24" s="375"/>
      <c r="C24" s="314"/>
      <c r="D24" s="314"/>
      <c r="E24" s="314"/>
      <c r="F24" s="314">
        <f t="shared" si="0"/>
        <v>0</v>
      </c>
      <c r="G24" s="314">
        <f>C24-E24</f>
        <v>0</v>
      </c>
      <c r="H24" s="314"/>
      <c r="I24" s="314"/>
      <c r="J24" s="314">
        <f t="shared" si="1"/>
        <v>0</v>
      </c>
      <c r="K24" s="316">
        <f>C24-I24</f>
        <v>0</v>
      </c>
      <c r="L24" s="314"/>
    </row>
    <row r="25" spans="1:12" ht="12.75" x14ac:dyDescent="0.2">
      <c r="A25" s="54" t="s">
        <v>270</v>
      </c>
      <c r="B25" s="314">
        <f>SUM(B26:B29)</f>
        <v>0</v>
      </c>
      <c r="C25" s="314">
        <f>SUM(C26:C29)</f>
        <v>0</v>
      </c>
      <c r="D25" s="314">
        <f>SUM(D26:D29)</f>
        <v>0</v>
      </c>
      <c r="E25" s="314">
        <f>SUM(E26:E29)</f>
        <v>0</v>
      </c>
      <c r="F25" s="314">
        <f t="shared" si="0"/>
        <v>0</v>
      </c>
      <c r="G25" s="314">
        <f>SUM(G26:G29)</f>
        <v>0</v>
      </c>
      <c r="H25" s="314">
        <f>SUM(H26:H29)</f>
        <v>0</v>
      </c>
      <c r="I25" s="314">
        <f>SUM(I26:I29)</f>
        <v>0</v>
      </c>
      <c r="J25" s="314">
        <f t="shared" si="1"/>
        <v>0</v>
      </c>
      <c r="K25" s="316">
        <f>SUM(K26:K29)</f>
        <v>0</v>
      </c>
      <c r="L25" s="314">
        <f>SUM(L26:L29)</f>
        <v>0</v>
      </c>
    </row>
    <row r="26" spans="1:12" ht="12.75" x14ac:dyDescent="0.2">
      <c r="A26" s="87" t="s">
        <v>421</v>
      </c>
      <c r="B26" s="314"/>
      <c r="C26" s="314"/>
      <c r="D26" s="314"/>
      <c r="E26" s="314"/>
      <c r="F26" s="314">
        <f t="shared" si="0"/>
        <v>0</v>
      </c>
      <c r="G26" s="314">
        <f>C26-E26</f>
        <v>0</v>
      </c>
      <c r="H26" s="314"/>
      <c r="I26" s="314"/>
      <c r="J26" s="314">
        <f t="shared" si="1"/>
        <v>0</v>
      </c>
      <c r="K26" s="316">
        <f>C26-I26</f>
        <v>0</v>
      </c>
      <c r="L26" s="314"/>
    </row>
    <row r="27" spans="1:12" ht="12.75" x14ac:dyDescent="0.2">
      <c r="A27" s="87" t="s">
        <v>422</v>
      </c>
      <c r="B27" s="314"/>
      <c r="C27" s="314"/>
      <c r="D27" s="314"/>
      <c r="E27" s="314"/>
      <c r="F27" s="314">
        <f t="shared" si="0"/>
        <v>0</v>
      </c>
      <c r="G27" s="314">
        <f>C27-E27</f>
        <v>0</v>
      </c>
      <c r="H27" s="314"/>
      <c r="I27" s="314"/>
      <c r="J27" s="314">
        <f t="shared" si="1"/>
        <v>0</v>
      </c>
      <c r="K27" s="316">
        <f>C27-I27</f>
        <v>0</v>
      </c>
      <c r="L27" s="314"/>
    </row>
    <row r="28" spans="1:12" ht="12.75" x14ac:dyDescent="0.2">
      <c r="A28" s="87" t="s">
        <v>426</v>
      </c>
      <c r="B28" s="314"/>
      <c r="C28" s="314"/>
      <c r="D28" s="314"/>
      <c r="E28" s="314"/>
      <c r="F28" s="314">
        <f t="shared" si="0"/>
        <v>0</v>
      </c>
      <c r="G28" s="314">
        <f>C28-E28</f>
        <v>0</v>
      </c>
      <c r="H28" s="314"/>
      <c r="I28" s="314"/>
      <c r="J28" s="314">
        <f t="shared" si="1"/>
        <v>0</v>
      </c>
      <c r="K28" s="316">
        <f>C28-I28</f>
        <v>0</v>
      </c>
      <c r="L28" s="314"/>
    </row>
    <row r="29" spans="1:12" ht="12.75" x14ac:dyDescent="0.2">
      <c r="A29" s="87" t="s">
        <v>420</v>
      </c>
      <c r="B29" s="314"/>
      <c r="C29" s="314"/>
      <c r="D29" s="314"/>
      <c r="E29" s="314"/>
      <c r="F29" s="314">
        <f t="shared" si="0"/>
        <v>0</v>
      </c>
      <c r="G29" s="314">
        <f>C29-E29</f>
        <v>0</v>
      </c>
      <c r="H29" s="314"/>
      <c r="I29" s="314"/>
      <c r="J29" s="314">
        <f t="shared" si="1"/>
        <v>0</v>
      </c>
      <c r="K29" s="316">
        <f>C29-I29</f>
        <v>0</v>
      </c>
      <c r="L29" s="314"/>
    </row>
    <row r="30" spans="1:12" ht="12.75" x14ac:dyDescent="0.2">
      <c r="A30" s="54" t="s">
        <v>271</v>
      </c>
      <c r="B30" s="314">
        <f>SUM(B31:B34)</f>
        <v>0</v>
      </c>
      <c r="C30" s="314">
        <f>SUM(C31:C34)</f>
        <v>0</v>
      </c>
      <c r="D30" s="314">
        <f>SUM(D31:D34)</f>
        <v>0</v>
      </c>
      <c r="E30" s="314">
        <f>SUM(E31:E34)</f>
        <v>0</v>
      </c>
      <c r="F30" s="314">
        <f t="shared" si="0"/>
        <v>0</v>
      </c>
      <c r="G30" s="314">
        <f>SUM(G31:G34)</f>
        <v>0</v>
      </c>
      <c r="H30" s="314">
        <f>SUM(H31:H34)</f>
        <v>0</v>
      </c>
      <c r="I30" s="314">
        <f>SUM(I31:I34)</f>
        <v>0</v>
      </c>
      <c r="J30" s="314">
        <f t="shared" si="1"/>
        <v>0</v>
      </c>
      <c r="K30" s="316">
        <f>SUM(K31:K34)</f>
        <v>0</v>
      </c>
      <c r="L30" s="314">
        <f>SUM(L31:L34)</f>
        <v>0</v>
      </c>
    </row>
    <row r="31" spans="1:12" ht="12.75" x14ac:dyDescent="0.2">
      <c r="A31" s="87" t="s">
        <v>423</v>
      </c>
      <c r="B31" s="314"/>
      <c r="C31" s="314"/>
      <c r="D31" s="314"/>
      <c r="E31" s="314"/>
      <c r="F31" s="314">
        <f t="shared" si="0"/>
        <v>0</v>
      </c>
      <c r="G31" s="314">
        <f>C31-E31</f>
        <v>0</v>
      </c>
      <c r="H31" s="314"/>
      <c r="I31" s="314"/>
      <c r="J31" s="314">
        <f t="shared" si="1"/>
        <v>0</v>
      </c>
      <c r="K31" s="316">
        <f>C31-I31</f>
        <v>0</v>
      </c>
      <c r="L31" s="314"/>
    </row>
    <row r="32" spans="1:12" ht="12.75" x14ac:dyDescent="0.2">
      <c r="A32" s="87" t="s">
        <v>424</v>
      </c>
      <c r="B32" s="314"/>
      <c r="C32" s="314"/>
      <c r="D32" s="314"/>
      <c r="E32" s="314"/>
      <c r="F32" s="314">
        <f t="shared" si="0"/>
        <v>0</v>
      </c>
      <c r="G32" s="314">
        <f>C32-E32</f>
        <v>0</v>
      </c>
      <c r="H32" s="314"/>
      <c r="I32" s="314"/>
      <c r="J32" s="314">
        <f t="shared" si="1"/>
        <v>0</v>
      </c>
      <c r="K32" s="316">
        <f>C32-I32</f>
        <v>0</v>
      </c>
      <c r="L32" s="314"/>
    </row>
    <row r="33" spans="1:12" ht="12.75" x14ac:dyDescent="0.2">
      <c r="A33" s="87" t="s">
        <v>426</v>
      </c>
      <c r="B33" s="314"/>
      <c r="C33" s="314"/>
      <c r="D33" s="314"/>
      <c r="E33" s="314"/>
      <c r="F33" s="314">
        <f t="shared" si="0"/>
        <v>0</v>
      </c>
      <c r="G33" s="314">
        <f>C33-E33</f>
        <v>0</v>
      </c>
      <c r="H33" s="314"/>
      <c r="I33" s="314"/>
      <c r="J33" s="314">
        <f t="shared" si="1"/>
        <v>0</v>
      </c>
      <c r="K33" s="316">
        <f>C33-I33</f>
        <v>0</v>
      </c>
      <c r="L33" s="314"/>
    </row>
    <row r="34" spans="1:12" ht="12.75" x14ac:dyDescent="0.2">
      <c r="A34" s="87" t="s">
        <v>420</v>
      </c>
      <c r="B34" s="314"/>
      <c r="C34" s="314"/>
      <c r="D34" s="314"/>
      <c r="E34" s="314"/>
      <c r="F34" s="314">
        <f t="shared" si="0"/>
        <v>0</v>
      </c>
      <c r="G34" s="314">
        <f>C34-E34</f>
        <v>0</v>
      </c>
      <c r="H34" s="314"/>
      <c r="I34" s="314"/>
      <c r="J34" s="314">
        <f t="shared" si="1"/>
        <v>0</v>
      </c>
      <c r="K34" s="316">
        <f>C34-I34</f>
        <v>0</v>
      </c>
      <c r="L34" s="314"/>
    </row>
    <row r="35" spans="1:12" ht="12.75" x14ac:dyDescent="0.2">
      <c r="A35" s="54" t="s">
        <v>279</v>
      </c>
      <c r="B35" s="314">
        <f>SUM(B36:B47)</f>
        <v>72408000</v>
      </c>
      <c r="C35" s="314">
        <f>SUM(C36:C47)</f>
        <v>80072269.480000004</v>
      </c>
      <c r="D35" s="314">
        <f>SUM(D36:D47)</f>
        <v>10927888.77</v>
      </c>
      <c r="E35" s="314">
        <f>SUM(E36:E47)</f>
        <v>71027320.450000003</v>
      </c>
      <c r="F35" s="314">
        <f t="shared" si="0"/>
        <v>5.7436045948473096</v>
      </c>
      <c r="G35" s="314">
        <f>SUM(G36:G47)</f>
        <v>9044949.0299999993</v>
      </c>
      <c r="H35" s="314">
        <f>SUM(H36:H47)</f>
        <v>14632440.420000002</v>
      </c>
      <c r="I35" s="314">
        <f>SUM(I36:I47)</f>
        <v>66968034.609999999</v>
      </c>
      <c r="J35" s="314">
        <f t="shared" si="1"/>
        <v>5.7387404018994781</v>
      </c>
      <c r="K35" s="316">
        <f>SUM(K36:K47)</f>
        <v>13104234.870000005</v>
      </c>
      <c r="L35" s="314">
        <f>SUM(L36:L47)</f>
        <v>4059285.84</v>
      </c>
    </row>
    <row r="36" spans="1:12" ht="12.75" x14ac:dyDescent="0.2">
      <c r="A36" s="87" t="s">
        <v>425</v>
      </c>
      <c r="B36" s="314"/>
      <c r="C36" s="314"/>
      <c r="D36" s="314"/>
      <c r="E36" s="314"/>
      <c r="F36" s="314">
        <f t="shared" si="0"/>
        <v>0</v>
      </c>
      <c r="G36" s="314">
        <f t="shared" ref="G36:G47" si="2">C36-E36</f>
        <v>0</v>
      </c>
      <c r="H36" s="314"/>
      <c r="I36" s="314"/>
      <c r="J36" s="314">
        <f t="shared" si="1"/>
        <v>0</v>
      </c>
      <c r="K36" s="316">
        <f t="shared" ref="K36:K47" si="3">C36-I36</f>
        <v>0</v>
      </c>
      <c r="L36" s="314"/>
    </row>
    <row r="37" spans="1:12" ht="12.75" x14ac:dyDescent="0.2">
      <c r="A37" s="87" t="s">
        <v>426</v>
      </c>
      <c r="B37" s="314">
        <v>45454000</v>
      </c>
      <c r="C37" s="314">
        <v>46732870</v>
      </c>
      <c r="D37" s="314">
        <v>6163307.04</v>
      </c>
      <c r="E37" s="314">
        <v>42278920.740000002</v>
      </c>
      <c r="F37" s="314">
        <f t="shared" si="0"/>
        <v>3.4188732151087251</v>
      </c>
      <c r="G37" s="314">
        <f t="shared" si="2"/>
        <v>4453949.2599999979</v>
      </c>
      <c r="H37" s="314">
        <v>9133888.2100000009</v>
      </c>
      <c r="I37" s="314">
        <v>40182835.159999996</v>
      </c>
      <c r="J37" s="314">
        <f t="shared" si="1"/>
        <v>3.4434168620669761</v>
      </c>
      <c r="K37" s="316">
        <f t="shared" si="3"/>
        <v>6550034.8400000036</v>
      </c>
      <c r="L37" s="314">
        <v>2096085.58</v>
      </c>
    </row>
    <row r="38" spans="1:12" ht="12.75" x14ac:dyDescent="0.2">
      <c r="A38" s="87" t="s">
        <v>427</v>
      </c>
      <c r="B38" s="314">
        <v>11040000</v>
      </c>
      <c r="C38" s="314">
        <v>11010000</v>
      </c>
      <c r="D38" s="314">
        <v>1231251.74</v>
      </c>
      <c r="E38" s="314">
        <v>9390878.1600000001</v>
      </c>
      <c r="F38" s="314">
        <f t="shared" si="0"/>
        <v>0.75939076129722205</v>
      </c>
      <c r="G38" s="314">
        <f t="shared" si="2"/>
        <v>1619121.8399999999</v>
      </c>
      <c r="H38" s="314">
        <v>1571790.19</v>
      </c>
      <c r="I38" s="314">
        <v>9178989.3800000008</v>
      </c>
      <c r="J38" s="314">
        <f t="shared" si="1"/>
        <v>0.78658179996440314</v>
      </c>
      <c r="K38" s="316">
        <f t="shared" si="3"/>
        <v>1831010.6199999992</v>
      </c>
      <c r="L38" s="314">
        <v>211888.78</v>
      </c>
    </row>
    <row r="39" spans="1:12" ht="12.75" x14ac:dyDescent="0.2">
      <c r="A39" s="87" t="s">
        <v>428</v>
      </c>
      <c r="B39" s="314">
        <v>1317000</v>
      </c>
      <c r="C39" s="314">
        <v>1312000</v>
      </c>
      <c r="D39" s="314">
        <v>225594.55</v>
      </c>
      <c r="E39" s="314">
        <v>1209601.97</v>
      </c>
      <c r="F39" s="314">
        <f t="shared" si="0"/>
        <v>9.7814128265180197E-2</v>
      </c>
      <c r="G39" s="314">
        <f t="shared" si="2"/>
        <v>102398.03000000003</v>
      </c>
      <c r="H39" s="314">
        <v>229947.07</v>
      </c>
      <c r="I39" s="314">
        <v>1207782.1200000001</v>
      </c>
      <c r="J39" s="314">
        <f t="shared" si="1"/>
        <v>0.10349934993763145</v>
      </c>
      <c r="K39" s="316">
        <f t="shared" si="3"/>
        <v>104217.87999999989</v>
      </c>
      <c r="L39" s="314">
        <v>1819.85</v>
      </c>
    </row>
    <row r="40" spans="1:12" ht="12.75" x14ac:dyDescent="0.2">
      <c r="A40" s="87" t="s">
        <v>429</v>
      </c>
      <c r="B40" s="314"/>
      <c r="C40" s="314"/>
      <c r="D40" s="314"/>
      <c r="E40" s="314"/>
      <c r="F40" s="314">
        <f t="shared" si="0"/>
        <v>0</v>
      </c>
      <c r="G40" s="314">
        <f t="shared" si="2"/>
        <v>0</v>
      </c>
      <c r="H40" s="314"/>
      <c r="I40" s="314"/>
      <c r="J40" s="314">
        <f t="shared" si="1"/>
        <v>0</v>
      </c>
      <c r="K40" s="316">
        <f t="shared" si="3"/>
        <v>0</v>
      </c>
      <c r="L40" s="314"/>
    </row>
    <row r="41" spans="1:12" ht="12.75" x14ac:dyDescent="0.2">
      <c r="A41" s="87" t="s">
        <v>430</v>
      </c>
      <c r="B41" s="314"/>
      <c r="C41" s="314"/>
      <c r="D41" s="314"/>
      <c r="E41" s="314"/>
      <c r="F41" s="314">
        <f t="shared" si="0"/>
        <v>0</v>
      </c>
      <c r="G41" s="314">
        <f t="shared" si="2"/>
        <v>0</v>
      </c>
      <c r="H41" s="314"/>
      <c r="I41" s="314"/>
      <c r="J41" s="314">
        <f t="shared" si="1"/>
        <v>0</v>
      </c>
      <c r="K41" s="316">
        <f t="shared" si="3"/>
        <v>0</v>
      </c>
      <c r="L41" s="314"/>
    </row>
    <row r="42" spans="1:12" ht="12.75" x14ac:dyDescent="0.2">
      <c r="A42" s="87" t="s">
        <v>431</v>
      </c>
      <c r="B42" s="314">
        <v>5693000</v>
      </c>
      <c r="C42" s="314">
        <v>9558000</v>
      </c>
      <c r="D42" s="314">
        <v>1419017.23</v>
      </c>
      <c r="E42" s="314">
        <v>7162586.7999999998</v>
      </c>
      <c r="F42" s="314">
        <f t="shared" si="0"/>
        <v>0.57920059766907184</v>
      </c>
      <c r="G42" s="314">
        <f t="shared" si="2"/>
        <v>2395413.2000000002</v>
      </c>
      <c r="H42" s="314">
        <v>1230467.8899999999</v>
      </c>
      <c r="I42" s="314">
        <v>5553904.4500000002</v>
      </c>
      <c r="J42" s="314">
        <f t="shared" si="1"/>
        <v>0.47593476561047166</v>
      </c>
      <c r="K42" s="316">
        <f t="shared" si="3"/>
        <v>4004095.55</v>
      </c>
      <c r="L42" s="314">
        <v>1608682.35</v>
      </c>
    </row>
    <row r="43" spans="1:12" ht="12.75" x14ac:dyDescent="0.2">
      <c r="A43" s="87" t="s">
        <v>432</v>
      </c>
      <c r="B43" s="314"/>
      <c r="C43" s="314"/>
      <c r="D43" s="314"/>
      <c r="E43" s="314"/>
      <c r="F43" s="314">
        <f t="shared" si="0"/>
        <v>0</v>
      </c>
      <c r="G43" s="314">
        <f t="shared" si="2"/>
        <v>0</v>
      </c>
      <c r="H43" s="314"/>
      <c r="I43" s="314"/>
      <c r="J43" s="314">
        <f t="shared" si="1"/>
        <v>0</v>
      </c>
      <c r="K43" s="316">
        <f t="shared" si="3"/>
        <v>0</v>
      </c>
      <c r="L43" s="314"/>
    </row>
    <row r="44" spans="1:12" ht="12.75" x14ac:dyDescent="0.2">
      <c r="A44" s="87" t="s">
        <v>433</v>
      </c>
      <c r="B44" s="314"/>
      <c r="C44" s="314"/>
      <c r="D44" s="314"/>
      <c r="E44" s="314"/>
      <c r="F44" s="314">
        <f t="shared" si="0"/>
        <v>0</v>
      </c>
      <c r="G44" s="314">
        <f t="shared" si="2"/>
        <v>0</v>
      </c>
      <c r="H44" s="314"/>
      <c r="I44" s="314"/>
      <c r="J44" s="314">
        <f t="shared" si="1"/>
        <v>0</v>
      </c>
      <c r="K44" s="316">
        <f t="shared" si="3"/>
        <v>0</v>
      </c>
      <c r="L44" s="314"/>
    </row>
    <row r="45" spans="1:12" ht="12.75" x14ac:dyDescent="0.2">
      <c r="A45" s="87" t="s">
        <v>434</v>
      </c>
      <c r="B45" s="314"/>
      <c r="C45" s="314"/>
      <c r="D45" s="314"/>
      <c r="E45" s="314"/>
      <c r="F45" s="314">
        <f t="shared" si="0"/>
        <v>0</v>
      </c>
      <c r="G45" s="314">
        <f t="shared" si="2"/>
        <v>0</v>
      </c>
      <c r="H45" s="314"/>
      <c r="I45" s="314"/>
      <c r="J45" s="314">
        <f t="shared" si="1"/>
        <v>0</v>
      </c>
      <c r="K45" s="316">
        <f t="shared" si="3"/>
        <v>0</v>
      </c>
      <c r="L45" s="314"/>
    </row>
    <row r="46" spans="1:12" ht="12.75" x14ac:dyDescent="0.2">
      <c r="A46" s="87" t="s">
        <v>435</v>
      </c>
      <c r="B46" s="314">
        <v>8904000</v>
      </c>
      <c r="C46" s="314">
        <v>11459399.48</v>
      </c>
      <c r="D46" s="314">
        <v>1888718.21</v>
      </c>
      <c r="E46" s="314">
        <v>10985332.779999999</v>
      </c>
      <c r="F46" s="314">
        <f t="shared" si="0"/>
        <v>0.88832589250711014</v>
      </c>
      <c r="G46" s="314">
        <f t="shared" si="2"/>
        <v>474066.70000000112</v>
      </c>
      <c r="H46" s="314">
        <v>2466347.06</v>
      </c>
      <c r="I46" s="314">
        <v>10844523.5</v>
      </c>
      <c r="J46" s="314">
        <f t="shared" si="1"/>
        <v>0.92930762431999536</v>
      </c>
      <c r="K46" s="316">
        <f t="shared" si="3"/>
        <v>614875.98000000045</v>
      </c>
      <c r="L46" s="314">
        <v>140809.28</v>
      </c>
    </row>
    <row r="47" spans="1:12" ht="12.75" x14ac:dyDescent="0.2">
      <c r="A47" s="87" t="s">
        <v>420</v>
      </c>
      <c r="B47" s="314"/>
      <c r="C47" s="314"/>
      <c r="D47" s="314"/>
      <c r="E47" s="314"/>
      <c r="F47" s="314">
        <f t="shared" si="0"/>
        <v>0</v>
      </c>
      <c r="G47" s="314">
        <f t="shared" si="2"/>
        <v>0</v>
      </c>
      <c r="H47" s="314"/>
      <c r="I47" s="314"/>
      <c r="J47" s="314">
        <f t="shared" si="1"/>
        <v>0</v>
      </c>
      <c r="K47" s="316">
        <f t="shared" si="3"/>
        <v>0</v>
      </c>
      <c r="L47" s="314"/>
    </row>
    <row r="48" spans="1:12" ht="12.75" x14ac:dyDescent="0.2">
      <c r="A48" s="54" t="s">
        <v>280</v>
      </c>
      <c r="B48" s="314">
        <f>SUM(B49:B53)</f>
        <v>0</v>
      </c>
      <c r="C48" s="314">
        <f>SUM(C49:C53)</f>
        <v>0</v>
      </c>
      <c r="D48" s="314">
        <f>SUM(D49:D53)</f>
        <v>0</v>
      </c>
      <c r="E48" s="314">
        <f>SUM(E49:E53)</f>
        <v>0</v>
      </c>
      <c r="F48" s="314">
        <f t="shared" si="0"/>
        <v>0</v>
      </c>
      <c r="G48" s="314">
        <f>SUM(G49:G53)</f>
        <v>0</v>
      </c>
      <c r="H48" s="314">
        <f>SUM(H49:H53)</f>
        <v>0</v>
      </c>
      <c r="I48" s="314">
        <f>SUM(I49:I53)</f>
        <v>0</v>
      </c>
      <c r="J48" s="314">
        <f t="shared" si="1"/>
        <v>0</v>
      </c>
      <c r="K48" s="316">
        <f>SUM(K49:K53)</f>
        <v>0</v>
      </c>
      <c r="L48" s="314">
        <f>SUM(L49:L53)</f>
        <v>0</v>
      </c>
    </row>
    <row r="49" spans="1:12" ht="12.75" x14ac:dyDescent="0.2">
      <c r="A49" s="87" t="s">
        <v>436</v>
      </c>
      <c r="B49" s="314"/>
      <c r="C49" s="314"/>
      <c r="D49" s="314"/>
      <c r="E49" s="314"/>
      <c r="F49" s="314">
        <f t="shared" si="0"/>
        <v>0</v>
      </c>
      <c r="G49" s="314">
        <f>C49-E49</f>
        <v>0</v>
      </c>
      <c r="H49" s="314"/>
      <c r="I49" s="314"/>
      <c r="J49" s="314">
        <f t="shared" si="1"/>
        <v>0</v>
      </c>
      <c r="K49" s="316">
        <f>C49-I49</f>
        <v>0</v>
      </c>
      <c r="L49" s="314"/>
    </row>
    <row r="50" spans="1:12" ht="12.75" x14ac:dyDescent="0.2">
      <c r="A50" s="87" t="s">
        <v>437</v>
      </c>
      <c r="B50" s="314"/>
      <c r="C50" s="314"/>
      <c r="D50" s="314"/>
      <c r="E50" s="314"/>
      <c r="F50" s="314">
        <f t="shared" si="0"/>
        <v>0</v>
      </c>
      <c r="G50" s="314">
        <f>C50-E50</f>
        <v>0</v>
      </c>
      <c r="H50" s="314"/>
      <c r="I50" s="314"/>
      <c r="J50" s="314">
        <f t="shared" si="1"/>
        <v>0</v>
      </c>
      <c r="K50" s="316">
        <f>C50-I50</f>
        <v>0</v>
      </c>
      <c r="L50" s="314"/>
    </row>
    <row r="51" spans="1:12" ht="12.75" x14ac:dyDescent="0.2">
      <c r="A51" s="87" t="s">
        <v>438</v>
      </c>
      <c r="B51" s="314"/>
      <c r="C51" s="314"/>
      <c r="D51" s="314"/>
      <c r="E51" s="314"/>
      <c r="F51" s="314">
        <f t="shared" ref="F51:F82" si="4">IF($E$213&gt;0,E51/$E$213,0)*100</f>
        <v>0</v>
      </c>
      <c r="G51" s="314">
        <f>C51-E51</f>
        <v>0</v>
      </c>
      <c r="H51" s="314"/>
      <c r="I51" s="314"/>
      <c r="J51" s="314">
        <f t="shared" ref="J51:J82" si="5">IF($I$213&gt;0,I51/$I$213,0)*100</f>
        <v>0</v>
      </c>
      <c r="K51" s="316">
        <f>C51-I51</f>
        <v>0</v>
      </c>
      <c r="L51" s="314"/>
    </row>
    <row r="52" spans="1:12" ht="12.75" x14ac:dyDescent="0.2">
      <c r="A52" s="87" t="s">
        <v>426</v>
      </c>
      <c r="B52" s="314"/>
      <c r="C52" s="314"/>
      <c r="D52" s="314"/>
      <c r="E52" s="314"/>
      <c r="F52" s="314">
        <f t="shared" si="4"/>
        <v>0</v>
      </c>
      <c r="G52" s="314">
        <f>C52-E52</f>
        <v>0</v>
      </c>
      <c r="H52" s="314"/>
      <c r="I52" s="314"/>
      <c r="J52" s="314">
        <f t="shared" si="5"/>
        <v>0</v>
      </c>
      <c r="K52" s="316">
        <f>C52-I52</f>
        <v>0</v>
      </c>
      <c r="L52" s="314"/>
    </row>
    <row r="53" spans="1:12" ht="12.75" x14ac:dyDescent="0.2">
      <c r="A53" s="87" t="s">
        <v>420</v>
      </c>
      <c r="B53" s="314"/>
      <c r="C53" s="314"/>
      <c r="D53" s="314"/>
      <c r="E53" s="314"/>
      <c r="F53" s="314">
        <f t="shared" si="4"/>
        <v>0</v>
      </c>
      <c r="G53" s="314">
        <f>C53-E53</f>
        <v>0</v>
      </c>
      <c r="H53" s="314"/>
      <c r="I53" s="314"/>
      <c r="J53" s="314">
        <f t="shared" si="5"/>
        <v>0</v>
      </c>
      <c r="K53" s="316">
        <f>C53-I53</f>
        <v>0</v>
      </c>
      <c r="L53" s="314"/>
    </row>
    <row r="54" spans="1:12" ht="12.75" x14ac:dyDescent="0.2">
      <c r="A54" s="54" t="s">
        <v>281</v>
      </c>
      <c r="B54" s="314">
        <f>SUM(B55:B59)</f>
        <v>31198000</v>
      </c>
      <c r="C54" s="314">
        <f>SUM(C55:C59)</f>
        <v>32404025.93</v>
      </c>
      <c r="D54" s="314">
        <f>SUM(D55:D59)</f>
        <v>6004943.46</v>
      </c>
      <c r="E54" s="314">
        <f>SUM(E55:E59)</f>
        <v>31246779.75</v>
      </c>
      <c r="F54" s="314">
        <f t="shared" si="4"/>
        <v>2.5267621896650314</v>
      </c>
      <c r="G54" s="314">
        <f>SUM(G55:G59)</f>
        <v>1157246.1799999997</v>
      </c>
      <c r="H54" s="314">
        <f>SUM(H55:H59)</f>
        <v>5882674.6299999999</v>
      </c>
      <c r="I54" s="314">
        <f>SUM(I55:I59)</f>
        <v>30318557.539999999</v>
      </c>
      <c r="J54" s="314">
        <f t="shared" si="5"/>
        <v>2.598110159501843</v>
      </c>
      <c r="K54" s="316">
        <f>SUM(K55:K59)</f>
        <v>2085468.3900000006</v>
      </c>
      <c r="L54" s="314">
        <f>SUM(L55:L59)</f>
        <v>928222.21</v>
      </c>
    </row>
    <row r="55" spans="1:12" ht="12.75" x14ac:dyDescent="0.2">
      <c r="A55" s="87" t="s">
        <v>439</v>
      </c>
      <c r="B55" s="314"/>
      <c r="C55" s="314"/>
      <c r="D55" s="314"/>
      <c r="E55" s="314"/>
      <c r="F55" s="314">
        <f t="shared" si="4"/>
        <v>0</v>
      </c>
      <c r="G55" s="314">
        <f>C55-E55</f>
        <v>0</v>
      </c>
      <c r="H55" s="314"/>
      <c r="I55" s="314"/>
      <c r="J55" s="314">
        <f t="shared" si="5"/>
        <v>0</v>
      </c>
      <c r="K55" s="316">
        <f>C55-I55</f>
        <v>0</v>
      </c>
      <c r="L55" s="314"/>
    </row>
    <row r="56" spans="1:12" ht="12.75" x14ac:dyDescent="0.2">
      <c r="A56" s="87" t="s">
        <v>440</v>
      </c>
      <c r="B56" s="314">
        <v>31198000</v>
      </c>
      <c r="C56" s="314">
        <v>32404025.93</v>
      </c>
      <c r="D56" s="314">
        <v>6004943.46</v>
      </c>
      <c r="E56" s="314">
        <v>31246779.75</v>
      </c>
      <c r="F56" s="314">
        <f t="shared" si="4"/>
        <v>2.5267621896650314</v>
      </c>
      <c r="G56" s="314">
        <f>C56-E56</f>
        <v>1157246.1799999997</v>
      </c>
      <c r="H56" s="314">
        <v>5882674.6299999999</v>
      </c>
      <c r="I56" s="314">
        <v>30318557.539999999</v>
      </c>
      <c r="J56" s="314">
        <f t="shared" si="5"/>
        <v>2.598110159501843</v>
      </c>
      <c r="K56" s="316">
        <f>C56-I56</f>
        <v>2085468.3900000006</v>
      </c>
      <c r="L56" s="314">
        <v>928222.21</v>
      </c>
    </row>
    <row r="57" spans="1:12" ht="12.75" x14ac:dyDescent="0.2">
      <c r="A57" s="87" t="s">
        <v>441</v>
      </c>
      <c r="B57" s="314"/>
      <c r="C57" s="314"/>
      <c r="D57" s="314"/>
      <c r="E57" s="314"/>
      <c r="F57" s="314">
        <f t="shared" si="4"/>
        <v>0</v>
      </c>
      <c r="G57" s="314">
        <f>C57-E57</f>
        <v>0</v>
      </c>
      <c r="H57" s="314"/>
      <c r="I57" s="314"/>
      <c r="J57" s="314">
        <f t="shared" si="5"/>
        <v>0</v>
      </c>
      <c r="K57" s="316">
        <f>C57-I57</f>
        <v>0</v>
      </c>
      <c r="L57" s="314"/>
    </row>
    <row r="58" spans="1:12" ht="12.75" x14ac:dyDescent="0.2">
      <c r="A58" s="87" t="s">
        <v>426</v>
      </c>
      <c r="B58" s="314"/>
      <c r="C58" s="314"/>
      <c r="D58" s="314"/>
      <c r="E58" s="314"/>
      <c r="F58" s="314">
        <f t="shared" si="4"/>
        <v>0</v>
      </c>
      <c r="G58" s="314">
        <f>C58-E58</f>
        <v>0</v>
      </c>
      <c r="H58" s="314"/>
      <c r="I58" s="314"/>
      <c r="J58" s="314">
        <f t="shared" si="5"/>
        <v>0</v>
      </c>
      <c r="K58" s="316">
        <f>C58-I58</f>
        <v>0</v>
      </c>
      <c r="L58" s="314"/>
    </row>
    <row r="59" spans="1:12" ht="12.75" x14ac:dyDescent="0.2">
      <c r="A59" s="87" t="s">
        <v>420</v>
      </c>
      <c r="B59" s="314"/>
      <c r="C59" s="314"/>
      <c r="D59" s="314"/>
      <c r="E59" s="314"/>
      <c r="F59" s="314">
        <f t="shared" si="4"/>
        <v>0</v>
      </c>
      <c r="G59" s="314">
        <f>C59-E59</f>
        <v>0</v>
      </c>
      <c r="H59" s="314"/>
      <c r="I59" s="314"/>
      <c r="J59" s="314">
        <f t="shared" si="5"/>
        <v>0</v>
      </c>
      <c r="K59" s="316">
        <f>C59-I59</f>
        <v>0</v>
      </c>
      <c r="L59" s="314"/>
    </row>
    <row r="60" spans="1:12" ht="12.75" x14ac:dyDescent="0.2">
      <c r="A60" s="54" t="s">
        <v>282</v>
      </c>
      <c r="B60" s="314">
        <f>SUM(B61:B64)</f>
        <v>0</v>
      </c>
      <c r="C60" s="314">
        <f>SUM(C61:C64)</f>
        <v>0</v>
      </c>
      <c r="D60" s="314">
        <f>SUM(D61:D64)</f>
        <v>0</v>
      </c>
      <c r="E60" s="314">
        <f>SUM(E61:E64)</f>
        <v>0</v>
      </c>
      <c r="F60" s="314">
        <f t="shared" si="4"/>
        <v>0</v>
      </c>
      <c r="G60" s="314">
        <f>SUM(G61:G64)</f>
        <v>0</v>
      </c>
      <c r="H60" s="314">
        <f>SUM(H61:H64)</f>
        <v>0</v>
      </c>
      <c r="I60" s="314">
        <f>SUM(I61:I64)</f>
        <v>0</v>
      </c>
      <c r="J60" s="314">
        <f t="shared" si="5"/>
        <v>0</v>
      </c>
      <c r="K60" s="316">
        <f>SUM(K61:K64)</f>
        <v>0</v>
      </c>
      <c r="L60" s="314">
        <f>SUM(L61:L64)</f>
        <v>0</v>
      </c>
    </row>
    <row r="61" spans="1:12" ht="12.75" x14ac:dyDescent="0.2">
      <c r="A61" s="87" t="s">
        <v>442</v>
      </c>
      <c r="B61" s="314"/>
      <c r="C61" s="314"/>
      <c r="D61" s="314"/>
      <c r="E61" s="314"/>
      <c r="F61" s="314">
        <f t="shared" si="4"/>
        <v>0</v>
      </c>
      <c r="G61" s="314">
        <f>C61-E61</f>
        <v>0</v>
      </c>
      <c r="H61" s="314"/>
      <c r="I61" s="314"/>
      <c r="J61" s="314">
        <f t="shared" si="5"/>
        <v>0</v>
      </c>
      <c r="K61" s="316">
        <f>C61-I61</f>
        <v>0</v>
      </c>
      <c r="L61" s="314"/>
    </row>
    <row r="62" spans="1:12" ht="12.75" x14ac:dyDescent="0.2">
      <c r="A62" s="87" t="s">
        <v>443</v>
      </c>
      <c r="B62" s="314"/>
      <c r="C62" s="314"/>
      <c r="D62" s="314"/>
      <c r="E62" s="314"/>
      <c r="F62" s="314">
        <f t="shared" si="4"/>
        <v>0</v>
      </c>
      <c r="G62" s="314">
        <f>C62-E62</f>
        <v>0</v>
      </c>
      <c r="H62" s="314"/>
      <c r="I62" s="314"/>
      <c r="J62" s="314">
        <f t="shared" si="5"/>
        <v>0</v>
      </c>
      <c r="K62" s="316">
        <f>C62-I62</f>
        <v>0</v>
      </c>
      <c r="L62" s="314"/>
    </row>
    <row r="63" spans="1:12" ht="12.75" x14ac:dyDescent="0.2">
      <c r="A63" s="87" t="s">
        <v>426</v>
      </c>
      <c r="B63" s="314"/>
      <c r="C63" s="314"/>
      <c r="D63" s="314"/>
      <c r="E63" s="314"/>
      <c r="F63" s="314">
        <f t="shared" si="4"/>
        <v>0</v>
      </c>
      <c r="G63" s="314">
        <f>C63-E63</f>
        <v>0</v>
      </c>
      <c r="H63" s="314"/>
      <c r="I63" s="314"/>
      <c r="J63" s="314">
        <f t="shared" si="5"/>
        <v>0</v>
      </c>
      <c r="K63" s="316">
        <f>C63-I63</f>
        <v>0</v>
      </c>
      <c r="L63" s="314"/>
    </row>
    <row r="64" spans="1:12" ht="12.75" x14ac:dyDescent="0.2">
      <c r="A64" s="87" t="s">
        <v>420</v>
      </c>
      <c r="B64" s="314"/>
      <c r="C64" s="314"/>
      <c r="D64" s="314"/>
      <c r="E64" s="314"/>
      <c r="F64" s="314">
        <f t="shared" si="4"/>
        <v>0</v>
      </c>
      <c r="G64" s="314">
        <f>C64-E64</f>
        <v>0</v>
      </c>
      <c r="H64" s="314"/>
      <c r="I64" s="314"/>
      <c r="J64" s="314">
        <f t="shared" si="5"/>
        <v>0</v>
      </c>
      <c r="K64" s="316">
        <f>C64-I64</f>
        <v>0</v>
      </c>
      <c r="L64" s="314"/>
    </row>
    <row r="65" spans="1:12" ht="12.75" x14ac:dyDescent="0.2">
      <c r="A65" s="54" t="s">
        <v>283</v>
      </c>
      <c r="B65" s="314">
        <f>SUM(B66:B71)</f>
        <v>22477900</v>
      </c>
      <c r="C65" s="314">
        <f>SUM(C66:C71)</f>
        <v>24561264.27</v>
      </c>
      <c r="D65" s="314">
        <f>SUM(D66:D71)</f>
        <v>2395961.2200000002</v>
      </c>
      <c r="E65" s="314">
        <f>SUM(E66:E71)</f>
        <v>20475872.66</v>
      </c>
      <c r="F65" s="314">
        <f t="shared" si="4"/>
        <v>1.6557757711875558</v>
      </c>
      <c r="G65" s="314">
        <f>SUM(G66:G71)</f>
        <v>4085391.6100000008</v>
      </c>
      <c r="H65" s="314">
        <f>SUM(H66:H71)</f>
        <v>3658900.95</v>
      </c>
      <c r="I65" s="314">
        <f>SUM(I66:I71)</f>
        <v>19714790.73</v>
      </c>
      <c r="J65" s="314">
        <f t="shared" si="5"/>
        <v>1.6894338729831853</v>
      </c>
      <c r="K65" s="316">
        <f>SUM(K66:K71)</f>
        <v>4846473.540000001</v>
      </c>
      <c r="L65" s="314">
        <f>SUM(L66:L71)</f>
        <v>761081.92999999993</v>
      </c>
    </row>
    <row r="66" spans="1:12" ht="12.75" x14ac:dyDescent="0.2">
      <c r="A66" s="87" t="s">
        <v>444</v>
      </c>
      <c r="B66" s="314">
        <v>16200</v>
      </c>
      <c r="C66" s="314">
        <v>16200</v>
      </c>
      <c r="D66" s="314">
        <v>0</v>
      </c>
      <c r="E66" s="314">
        <v>8544</v>
      </c>
      <c r="F66" s="314">
        <f t="shared" si="4"/>
        <v>6.9090819345945652E-4</v>
      </c>
      <c r="G66" s="314">
        <f t="shared" ref="G66:G71" si="6">C66-E66</f>
        <v>7656</v>
      </c>
      <c r="H66" s="314">
        <v>848</v>
      </c>
      <c r="I66" s="314">
        <v>8544</v>
      </c>
      <c r="J66" s="314">
        <f t="shared" si="5"/>
        <v>7.3216719408557155E-4</v>
      </c>
      <c r="K66" s="316">
        <f t="shared" ref="K66:K71" si="7">C66-I66</f>
        <v>7656</v>
      </c>
      <c r="L66" s="314">
        <v>0</v>
      </c>
    </row>
    <row r="67" spans="1:12" ht="12.75" x14ac:dyDescent="0.2">
      <c r="A67" s="87" t="s">
        <v>445</v>
      </c>
      <c r="B67" s="314">
        <v>2000</v>
      </c>
      <c r="C67" s="314">
        <v>135168.56</v>
      </c>
      <c r="D67" s="314">
        <v>20700</v>
      </c>
      <c r="E67" s="314">
        <v>128929.99</v>
      </c>
      <c r="F67" s="314">
        <f t="shared" si="4"/>
        <v>1.0425887929967907E-2</v>
      </c>
      <c r="G67" s="314">
        <f t="shared" si="6"/>
        <v>6238.5699999999924</v>
      </c>
      <c r="H67" s="314">
        <v>0</v>
      </c>
      <c r="I67" s="314">
        <v>108229.99</v>
      </c>
      <c r="J67" s="314">
        <f t="shared" si="5"/>
        <v>9.2746310971687125E-3</v>
      </c>
      <c r="K67" s="316">
        <f t="shared" si="7"/>
        <v>26938.569999999992</v>
      </c>
      <c r="L67" s="314">
        <v>20700</v>
      </c>
    </row>
    <row r="68" spans="1:12" ht="12.75" x14ac:dyDescent="0.2">
      <c r="A68" s="87" t="s">
        <v>446</v>
      </c>
      <c r="B68" s="314">
        <v>1118550</v>
      </c>
      <c r="C68" s="314">
        <v>1619050</v>
      </c>
      <c r="D68" s="314">
        <v>144096.37</v>
      </c>
      <c r="E68" s="314">
        <v>925121.92</v>
      </c>
      <c r="F68" s="314">
        <f t="shared" si="4"/>
        <v>7.4809727817994373E-2</v>
      </c>
      <c r="G68" s="314">
        <f t="shared" si="6"/>
        <v>693928.08</v>
      </c>
      <c r="H68" s="314">
        <v>147682.01</v>
      </c>
      <c r="I68" s="314">
        <v>924406.58</v>
      </c>
      <c r="J68" s="314">
        <f t="shared" si="5"/>
        <v>7.9215844086240564E-2</v>
      </c>
      <c r="K68" s="316">
        <f t="shared" si="7"/>
        <v>694643.42</v>
      </c>
      <c r="L68" s="314">
        <v>715.34</v>
      </c>
    </row>
    <row r="69" spans="1:12" ht="12.75" x14ac:dyDescent="0.2">
      <c r="A69" s="87" t="s">
        <v>447</v>
      </c>
      <c r="B69" s="314">
        <v>21341150</v>
      </c>
      <c r="C69" s="314">
        <v>22790845.710000001</v>
      </c>
      <c r="D69" s="314">
        <v>2231164.85</v>
      </c>
      <c r="E69" s="314">
        <v>19413276.75</v>
      </c>
      <c r="F69" s="314">
        <f t="shared" si="4"/>
        <v>1.5698492472461338</v>
      </c>
      <c r="G69" s="314">
        <f t="shared" si="6"/>
        <v>3377568.9600000009</v>
      </c>
      <c r="H69" s="314">
        <v>3510370.94</v>
      </c>
      <c r="I69" s="314">
        <v>18673610.16</v>
      </c>
      <c r="J69" s="314">
        <f t="shared" si="5"/>
        <v>1.6002112306056904</v>
      </c>
      <c r="K69" s="316">
        <f t="shared" si="7"/>
        <v>4117235.5500000007</v>
      </c>
      <c r="L69" s="314">
        <v>739666.59</v>
      </c>
    </row>
    <row r="70" spans="1:12" ht="12.75" x14ac:dyDescent="0.2">
      <c r="A70" s="87" t="s">
        <v>426</v>
      </c>
      <c r="B70" s="314"/>
      <c r="C70" s="314"/>
      <c r="D70" s="314"/>
      <c r="E70" s="314"/>
      <c r="F70" s="314">
        <f t="shared" si="4"/>
        <v>0</v>
      </c>
      <c r="G70" s="314">
        <f t="shared" si="6"/>
        <v>0</v>
      </c>
      <c r="H70" s="314"/>
      <c r="I70" s="314"/>
      <c r="J70" s="314">
        <f t="shared" si="5"/>
        <v>0</v>
      </c>
      <c r="K70" s="316">
        <f t="shared" si="7"/>
        <v>0</v>
      </c>
      <c r="L70" s="314"/>
    </row>
    <row r="71" spans="1:12" ht="12.75" x14ac:dyDescent="0.2">
      <c r="A71" s="87" t="s">
        <v>420</v>
      </c>
      <c r="B71" s="314"/>
      <c r="C71" s="314"/>
      <c r="D71" s="314"/>
      <c r="E71" s="314"/>
      <c r="F71" s="314">
        <f t="shared" si="4"/>
        <v>0</v>
      </c>
      <c r="G71" s="314">
        <f t="shared" si="6"/>
        <v>0</v>
      </c>
      <c r="H71" s="314"/>
      <c r="I71" s="314"/>
      <c r="J71" s="314">
        <f t="shared" si="5"/>
        <v>0</v>
      </c>
      <c r="K71" s="316">
        <f t="shared" si="7"/>
        <v>0</v>
      </c>
      <c r="L71" s="314"/>
    </row>
    <row r="72" spans="1:12" ht="12.75" x14ac:dyDescent="0.2">
      <c r="A72" s="54" t="s">
        <v>284</v>
      </c>
      <c r="B72" s="314">
        <f>SUM(B73:B78)</f>
        <v>65554000</v>
      </c>
      <c r="C72" s="314">
        <f>SUM(C73:C78)</f>
        <v>71914000</v>
      </c>
      <c r="D72" s="314">
        <f>SUM(D73:D78)</f>
        <v>14197296.810000001</v>
      </c>
      <c r="E72" s="314">
        <f>SUM(E73:E78)</f>
        <v>67371339.540000007</v>
      </c>
      <c r="F72" s="314">
        <f t="shared" si="4"/>
        <v>5.4479647112037757</v>
      </c>
      <c r="G72" s="314">
        <f>SUM(G73:G78)</f>
        <v>4542660.4599999934</v>
      </c>
      <c r="H72" s="314">
        <f>SUM(H73:H78)</f>
        <v>13900263.51</v>
      </c>
      <c r="I72" s="314">
        <f>SUM(I73:I78)</f>
        <v>66928705.579999998</v>
      </c>
      <c r="J72" s="314">
        <f t="shared" si="5"/>
        <v>5.7353701507827637</v>
      </c>
      <c r="K72" s="316">
        <f>SUM(K73:K78)</f>
        <v>4985294.4200000018</v>
      </c>
      <c r="L72" s="314">
        <f>SUM(L73:L78)</f>
        <v>442633.96</v>
      </c>
    </row>
    <row r="73" spans="1:12" ht="12.75" x14ac:dyDescent="0.2">
      <c r="A73" s="87" t="s">
        <v>448</v>
      </c>
      <c r="B73" s="314"/>
      <c r="C73" s="314"/>
      <c r="D73" s="314"/>
      <c r="E73" s="314"/>
      <c r="F73" s="314">
        <f t="shared" si="4"/>
        <v>0</v>
      </c>
      <c r="G73" s="314">
        <f t="shared" ref="G73:G78" si="8">C73-E73</f>
        <v>0</v>
      </c>
      <c r="H73" s="314"/>
      <c r="I73" s="314"/>
      <c r="J73" s="314">
        <f t="shared" si="5"/>
        <v>0</v>
      </c>
      <c r="K73" s="316">
        <f t="shared" ref="K73:K78" si="9">C73-I73</f>
        <v>0</v>
      </c>
      <c r="L73" s="314"/>
    </row>
    <row r="74" spans="1:12" ht="12.75" x14ac:dyDescent="0.2">
      <c r="A74" s="87" t="s">
        <v>449</v>
      </c>
      <c r="B74" s="314">
        <v>65554000</v>
      </c>
      <c r="C74" s="314">
        <v>71914000</v>
      </c>
      <c r="D74" s="314">
        <v>14197296.810000001</v>
      </c>
      <c r="E74" s="314">
        <v>67371339.540000007</v>
      </c>
      <c r="F74" s="314">
        <f t="shared" si="4"/>
        <v>5.4479647112037757</v>
      </c>
      <c r="G74" s="314">
        <f t="shared" si="8"/>
        <v>4542660.4599999934</v>
      </c>
      <c r="H74" s="314">
        <v>13900263.51</v>
      </c>
      <c r="I74" s="314">
        <v>66928705.579999998</v>
      </c>
      <c r="J74" s="314">
        <f t="shared" si="5"/>
        <v>5.7353701507827637</v>
      </c>
      <c r="K74" s="316">
        <f t="shared" si="9"/>
        <v>4985294.4200000018</v>
      </c>
      <c r="L74" s="314">
        <v>442633.96</v>
      </c>
    </row>
    <row r="75" spans="1:12" ht="12.75" x14ac:dyDescent="0.2">
      <c r="A75" s="87" t="s">
        <v>450</v>
      </c>
      <c r="B75" s="314"/>
      <c r="C75" s="314"/>
      <c r="D75" s="314"/>
      <c r="E75" s="314"/>
      <c r="F75" s="314">
        <f t="shared" si="4"/>
        <v>0</v>
      </c>
      <c r="G75" s="314">
        <f t="shared" si="8"/>
        <v>0</v>
      </c>
      <c r="H75" s="314"/>
      <c r="I75" s="314"/>
      <c r="J75" s="314">
        <f t="shared" si="5"/>
        <v>0</v>
      </c>
      <c r="K75" s="316">
        <f t="shared" si="9"/>
        <v>0</v>
      </c>
      <c r="L75" s="314"/>
    </row>
    <row r="76" spans="1:12" ht="12.75" x14ac:dyDescent="0.2">
      <c r="A76" s="87" t="s">
        <v>451</v>
      </c>
      <c r="B76" s="314"/>
      <c r="C76" s="314"/>
      <c r="D76" s="314"/>
      <c r="E76" s="314"/>
      <c r="F76" s="314">
        <f t="shared" si="4"/>
        <v>0</v>
      </c>
      <c r="G76" s="314">
        <f t="shared" si="8"/>
        <v>0</v>
      </c>
      <c r="H76" s="314"/>
      <c r="I76" s="314"/>
      <c r="J76" s="314">
        <f t="shared" si="5"/>
        <v>0</v>
      </c>
      <c r="K76" s="316">
        <f t="shared" si="9"/>
        <v>0</v>
      </c>
      <c r="L76" s="314"/>
    </row>
    <row r="77" spans="1:12" ht="12.75" x14ac:dyDescent="0.2">
      <c r="A77" s="87" t="s">
        <v>426</v>
      </c>
      <c r="B77" s="314"/>
      <c r="C77" s="314"/>
      <c r="D77" s="314"/>
      <c r="E77" s="314"/>
      <c r="F77" s="314">
        <f t="shared" si="4"/>
        <v>0</v>
      </c>
      <c r="G77" s="314">
        <f t="shared" si="8"/>
        <v>0</v>
      </c>
      <c r="H77" s="314"/>
      <c r="I77" s="314"/>
      <c r="J77" s="314">
        <f t="shared" si="5"/>
        <v>0</v>
      </c>
      <c r="K77" s="316">
        <f t="shared" si="9"/>
        <v>0</v>
      </c>
      <c r="L77" s="314"/>
    </row>
    <row r="78" spans="1:12" ht="12.75" x14ac:dyDescent="0.2">
      <c r="A78" s="87" t="s">
        <v>420</v>
      </c>
      <c r="B78" s="314"/>
      <c r="C78" s="314"/>
      <c r="D78" s="314"/>
      <c r="E78" s="314"/>
      <c r="F78" s="314">
        <f t="shared" si="4"/>
        <v>0</v>
      </c>
      <c r="G78" s="314">
        <f t="shared" si="8"/>
        <v>0</v>
      </c>
      <c r="H78" s="314"/>
      <c r="I78" s="314"/>
      <c r="J78" s="314">
        <f t="shared" si="5"/>
        <v>0</v>
      </c>
      <c r="K78" s="316">
        <f t="shared" si="9"/>
        <v>0</v>
      </c>
      <c r="L78" s="314"/>
    </row>
    <row r="79" spans="1:12" ht="12.75" x14ac:dyDescent="0.2">
      <c r="A79" s="54" t="s">
        <v>285</v>
      </c>
      <c r="B79" s="314">
        <f>SUM(B80:B87)</f>
        <v>236383300</v>
      </c>
      <c r="C79" s="314">
        <f>SUM(C80:C87)</f>
        <v>288592991.01999998</v>
      </c>
      <c r="D79" s="314">
        <f>SUM(D80:D87)</f>
        <v>34621103.990000002</v>
      </c>
      <c r="E79" s="314">
        <f>SUM(E80:E87)</f>
        <v>273126924.06</v>
      </c>
      <c r="F79" s="314">
        <f t="shared" si="4"/>
        <v>22.086333062667691</v>
      </c>
      <c r="G79" s="314">
        <f>SUM(G80:G87)</f>
        <v>15466066.95999999</v>
      </c>
      <c r="H79" s="314">
        <f>SUM(H80:H87)</f>
        <v>50878639.220000006</v>
      </c>
      <c r="I79" s="314">
        <f>SUM(I80:I87)</f>
        <v>258071977.09999999</v>
      </c>
      <c r="J79" s="314">
        <f t="shared" si="5"/>
        <v>22.115149267956795</v>
      </c>
      <c r="K79" s="316">
        <f>SUM(K80:K87)</f>
        <v>30521013.919999991</v>
      </c>
      <c r="L79" s="314">
        <f>SUM(L80:L87)</f>
        <v>15054946.959999999</v>
      </c>
    </row>
    <row r="80" spans="1:12" ht="12.75" x14ac:dyDescent="0.2">
      <c r="A80" s="87" t="s">
        <v>224</v>
      </c>
      <c r="B80" s="314">
        <v>33892000</v>
      </c>
      <c r="C80" s="314">
        <v>41459698.810000002</v>
      </c>
      <c r="D80" s="314">
        <v>7503523.2999999998</v>
      </c>
      <c r="E80" s="314">
        <v>40368742.450000003</v>
      </c>
      <c r="F80" s="314">
        <f t="shared" si="4"/>
        <v>3.264407176774295</v>
      </c>
      <c r="G80" s="314">
        <f t="shared" ref="G80:G87" si="10">C80-E80</f>
        <v>1090956.3599999994</v>
      </c>
      <c r="H80" s="314">
        <v>7934119.6399999997</v>
      </c>
      <c r="I80" s="314">
        <v>39413030.140000001</v>
      </c>
      <c r="J80" s="314">
        <f t="shared" si="5"/>
        <v>3.3774494016870151</v>
      </c>
      <c r="K80" s="316">
        <f t="shared" ref="K80:K87" si="11">C80-I80</f>
        <v>2046668.6700000018</v>
      </c>
      <c r="L80" s="314">
        <v>955712.31</v>
      </c>
    </row>
    <row r="81" spans="1:12" ht="12.75" x14ac:dyDescent="0.2">
      <c r="A81" s="87" t="s">
        <v>225</v>
      </c>
      <c r="B81" s="314">
        <v>134102000</v>
      </c>
      <c r="C81" s="314">
        <v>161360906.44</v>
      </c>
      <c r="D81" s="314">
        <v>17059138.530000001</v>
      </c>
      <c r="E81" s="314">
        <v>153629307.93000001</v>
      </c>
      <c r="F81" s="314">
        <f t="shared" si="4"/>
        <v>12.423191433092564</v>
      </c>
      <c r="G81" s="314">
        <f t="shared" si="10"/>
        <v>7731598.5099999905</v>
      </c>
      <c r="H81" s="314">
        <v>29026572.879999999</v>
      </c>
      <c r="I81" s="314">
        <v>140951594.90000001</v>
      </c>
      <c r="J81" s="314">
        <f t="shared" si="5"/>
        <v>12.078667338461981</v>
      </c>
      <c r="K81" s="316">
        <f t="shared" si="11"/>
        <v>20409311.539999992</v>
      </c>
      <c r="L81" s="314">
        <v>12677713.029999999</v>
      </c>
    </row>
    <row r="82" spans="1:12" ht="12.75" x14ac:dyDescent="0.2">
      <c r="A82" s="87" t="s">
        <v>226</v>
      </c>
      <c r="B82" s="314">
        <v>12283000</v>
      </c>
      <c r="C82" s="314">
        <v>13836314.43</v>
      </c>
      <c r="D82" s="314">
        <v>855661.22</v>
      </c>
      <c r="E82" s="314">
        <v>13400966.33</v>
      </c>
      <c r="F82" s="314">
        <f t="shared" si="4"/>
        <v>1.0836654304390569</v>
      </c>
      <c r="G82" s="314">
        <f t="shared" si="10"/>
        <v>435348.09999999963</v>
      </c>
      <c r="H82" s="314">
        <v>1641457.42</v>
      </c>
      <c r="I82" s="314">
        <v>13172431.130000001</v>
      </c>
      <c r="J82" s="314">
        <f t="shared" si="5"/>
        <v>1.1287947026846366</v>
      </c>
      <c r="K82" s="316">
        <f t="shared" si="11"/>
        <v>663883.29999999888</v>
      </c>
      <c r="L82" s="314">
        <v>228535.2</v>
      </c>
    </row>
    <row r="83" spans="1:12" ht="12.75" x14ac:dyDescent="0.2">
      <c r="A83" s="87" t="s">
        <v>227</v>
      </c>
      <c r="B83" s="314">
        <v>2092500</v>
      </c>
      <c r="C83" s="314">
        <v>2958714.59</v>
      </c>
      <c r="D83" s="314">
        <v>417287.95</v>
      </c>
      <c r="E83" s="314">
        <v>2057884.37</v>
      </c>
      <c r="F83" s="314">
        <f t="shared" ref="F83:F114" si="12">IF($E$213&gt;0,E83/$E$213,0)*100</f>
        <v>0.1664102495815955</v>
      </c>
      <c r="G83" s="314">
        <f t="shared" si="10"/>
        <v>900830.21999999974</v>
      </c>
      <c r="H83" s="314">
        <v>418745.09</v>
      </c>
      <c r="I83" s="314">
        <v>2056544.42</v>
      </c>
      <c r="J83" s="314">
        <f t="shared" ref="J83:J114" si="13">IF($I$213&gt;0,I83/$I$213,0)*100</f>
        <v>0.17623295382768481</v>
      </c>
      <c r="K83" s="316">
        <f t="shared" si="11"/>
        <v>902170.16999999993</v>
      </c>
      <c r="L83" s="314">
        <v>1339.95</v>
      </c>
    </row>
    <row r="84" spans="1:12" ht="12.75" x14ac:dyDescent="0.2">
      <c r="A84" s="87" t="s">
        <v>228</v>
      </c>
      <c r="B84" s="314">
        <v>3306000</v>
      </c>
      <c r="C84" s="314">
        <v>4029443.34</v>
      </c>
      <c r="D84" s="314">
        <v>572364.93999999994</v>
      </c>
      <c r="E84" s="314">
        <v>3489146.36</v>
      </c>
      <c r="F84" s="314">
        <f t="shared" si="12"/>
        <v>0.28214885396807565</v>
      </c>
      <c r="G84" s="314">
        <f t="shared" si="10"/>
        <v>540296.98</v>
      </c>
      <c r="H84" s="314">
        <v>604616.88</v>
      </c>
      <c r="I84" s="314">
        <v>3405001.22</v>
      </c>
      <c r="J84" s="314">
        <f t="shared" si="13"/>
        <v>0.29178724123424016</v>
      </c>
      <c r="K84" s="316">
        <f t="shared" si="11"/>
        <v>624442.11999999965</v>
      </c>
      <c r="L84" s="314">
        <v>84145.14</v>
      </c>
    </row>
    <row r="85" spans="1:12" ht="12.75" x14ac:dyDescent="0.2">
      <c r="A85" s="87" t="s">
        <v>229</v>
      </c>
      <c r="B85" s="314"/>
      <c r="C85" s="314"/>
      <c r="D85" s="314"/>
      <c r="E85" s="314"/>
      <c r="F85" s="314">
        <f t="shared" si="12"/>
        <v>0</v>
      </c>
      <c r="G85" s="314">
        <f t="shared" si="10"/>
        <v>0</v>
      </c>
      <c r="H85" s="314"/>
      <c r="I85" s="314"/>
      <c r="J85" s="314">
        <f t="shared" si="13"/>
        <v>0</v>
      </c>
      <c r="K85" s="316">
        <f t="shared" si="11"/>
        <v>0</v>
      </c>
      <c r="L85" s="314"/>
    </row>
    <row r="86" spans="1:12" ht="12.75" x14ac:dyDescent="0.2">
      <c r="A86" s="87" t="s">
        <v>426</v>
      </c>
      <c r="B86" s="314">
        <v>50707800</v>
      </c>
      <c r="C86" s="314">
        <v>64947913.409999996</v>
      </c>
      <c r="D86" s="314">
        <v>8213128.0499999998</v>
      </c>
      <c r="E86" s="314">
        <v>60180876.619999997</v>
      </c>
      <c r="F86" s="314">
        <f t="shared" si="12"/>
        <v>4.866509918812107</v>
      </c>
      <c r="G86" s="314">
        <f t="shared" si="10"/>
        <v>4767036.7899999991</v>
      </c>
      <c r="H86" s="314">
        <v>11253127.310000001</v>
      </c>
      <c r="I86" s="314">
        <v>59073375.289999999</v>
      </c>
      <c r="J86" s="314">
        <f t="shared" si="13"/>
        <v>5.06221763006124</v>
      </c>
      <c r="K86" s="316">
        <f t="shared" si="11"/>
        <v>5874538.1199999973</v>
      </c>
      <c r="L86" s="314">
        <v>1107501.33</v>
      </c>
    </row>
    <row r="87" spans="1:12" ht="12.75" x14ac:dyDescent="0.2">
      <c r="A87" s="87" t="s">
        <v>420</v>
      </c>
      <c r="B87" s="314"/>
      <c r="C87" s="314"/>
      <c r="D87" s="314"/>
      <c r="E87" s="314"/>
      <c r="F87" s="314">
        <f t="shared" si="12"/>
        <v>0</v>
      </c>
      <c r="G87" s="314">
        <f t="shared" si="10"/>
        <v>0</v>
      </c>
      <c r="H87" s="314"/>
      <c r="I87" s="314"/>
      <c r="J87" s="314">
        <f t="shared" si="13"/>
        <v>0</v>
      </c>
      <c r="K87" s="316">
        <f t="shared" si="11"/>
        <v>0</v>
      </c>
      <c r="L87" s="314"/>
    </row>
    <row r="88" spans="1:12" ht="12.75" x14ac:dyDescent="0.2">
      <c r="A88" s="54" t="s">
        <v>286</v>
      </c>
      <c r="B88" s="314">
        <f>SUM(B89:B94)</f>
        <v>0</v>
      </c>
      <c r="C88" s="314">
        <f>SUM(C89:C94)</f>
        <v>0</v>
      </c>
      <c r="D88" s="314">
        <f>SUM(D89:D94)</f>
        <v>0</v>
      </c>
      <c r="E88" s="314">
        <f>SUM(E89:E94)</f>
        <v>0</v>
      </c>
      <c r="F88" s="314">
        <f t="shared" si="12"/>
        <v>0</v>
      </c>
      <c r="G88" s="314">
        <f>SUM(G89:G94)</f>
        <v>0</v>
      </c>
      <c r="H88" s="314">
        <f>SUM(H89:H94)</f>
        <v>0</v>
      </c>
      <c r="I88" s="314">
        <f>SUM(I89:I94)</f>
        <v>0</v>
      </c>
      <c r="J88" s="314">
        <f t="shared" si="13"/>
        <v>0</v>
      </c>
      <c r="K88" s="316">
        <f>SUM(K89:K94)</f>
        <v>0</v>
      </c>
      <c r="L88" s="314">
        <f>SUM(L89:L94)</f>
        <v>0</v>
      </c>
    </row>
    <row r="89" spans="1:12" ht="12.75" x14ac:dyDescent="0.2">
      <c r="A89" s="87" t="s">
        <v>452</v>
      </c>
      <c r="B89" s="314"/>
      <c r="C89" s="314"/>
      <c r="D89" s="314"/>
      <c r="E89" s="314"/>
      <c r="F89" s="314">
        <f t="shared" si="12"/>
        <v>0</v>
      </c>
      <c r="G89" s="314">
        <f t="shared" ref="G89:G94" si="14">C89-E89</f>
        <v>0</v>
      </c>
      <c r="H89" s="314"/>
      <c r="I89" s="314"/>
      <c r="J89" s="314">
        <f t="shared" si="13"/>
        <v>0</v>
      </c>
      <c r="K89" s="316">
        <f t="shared" ref="K89:K94" si="15">C89-I89</f>
        <v>0</v>
      </c>
      <c r="L89" s="314"/>
    </row>
    <row r="90" spans="1:12" ht="12.75" x14ac:dyDescent="0.2">
      <c r="A90" s="87" t="s">
        <v>453</v>
      </c>
      <c r="B90" s="314"/>
      <c r="C90" s="314"/>
      <c r="D90" s="314"/>
      <c r="E90" s="314"/>
      <c r="F90" s="314">
        <f t="shared" si="12"/>
        <v>0</v>
      </c>
      <c r="G90" s="314">
        <f t="shared" si="14"/>
        <v>0</v>
      </c>
      <c r="H90" s="314"/>
      <c r="I90" s="314"/>
      <c r="J90" s="314">
        <f t="shared" si="13"/>
        <v>0</v>
      </c>
      <c r="K90" s="316">
        <f t="shared" si="15"/>
        <v>0</v>
      </c>
      <c r="L90" s="314"/>
    </row>
    <row r="91" spans="1:12" ht="12.75" x14ac:dyDescent="0.2">
      <c r="A91" s="87" t="s">
        <v>454</v>
      </c>
      <c r="B91" s="314"/>
      <c r="C91" s="314"/>
      <c r="D91" s="314"/>
      <c r="E91" s="314"/>
      <c r="F91" s="314">
        <f t="shared" si="12"/>
        <v>0</v>
      </c>
      <c r="G91" s="314">
        <f t="shared" si="14"/>
        <v>0</v>
      </c>
      <c r="H91" s="314"/>
      <c r="I91" s="314"/>
      <c r="J91" s="314">
        <f t="shared" si="13"/>
        <v>0</v>
      </c>
      <c r="K91" s="316">
        <f t="shared" si="15"/>
        <v>0</v>
      </c>
      <c r="L91" s="314"/>
    </row>
    <row r="92" spans="1:12" ht="12.75" x14ac:dyDescent="0.2">
      <c r="A92" s="87" t="s">
        <v>455</v>
      </c>
      <c r="B92" s="314"/>
      <c r="C92" s="314"/>
      <c r="D92" s="314"/>
      <c r="E92" s="314"/>
      <c r="F92" s="314">
        <f t="shared" si="12"/>
        <v>0</v>
      </c>
      <c r="G92" s="314">
        <f t="shared" si="14"/>
        <v>0</v>
      </c>
      <c r="H92" s="314"/>
      <c r="I92" s="314"/>
      <c r="J92" s="314">
        <f t="shared" si="13"/>
        <v>0</v>
      </c>
      <c r="K92" s="316">
        <f t="shared" si="15"/>
        <v>0</v>
      </c>
      <c r="L92" s="314"/>
    </row>
    <row r="93" spans="1:12" ht="12.75" x14ac:dyDescent="0.2">
      <c r="A93" s="87" t="s">
        <v>426</v>
      </c>
      <c r="B93" s="314"/>
      <c r="C93" s="314"/>
      <c r="D93" s="314"/>
      <c r="E93" s="314"/>
      <c r="F93" s="314">
        <f t="shared" si="12"/>
        <v>0</v>
      </c>
      <c r="G93" s="314">
        <f t="shared" si="14"/>
        <v>0</v>
      </c>
      <c r="H93" s="314"/>
      <c r="I93" s="314"/>
      <c r="J93" s="314">
        <f t="shared" si="13"/>
        <v>0</v>
      </c>
      <c r="K93" s="316">
        <f t="shared" si="15"/>
        <v>0</v>
      </c>
      <c r="L93" s="314"/>
    </row>
    <row r="94" spans="1:12" ht="12.75" x14ac:dyDescent="0.2">
      <c r="A94" s="87" t="s">
        <v>420</v>
      </c>
      <c r="B94" s="314"/>
      <c r="C94" s="314"/>
      <c r="D94" s="314"/>
      <c r="E94" s="314"/>
      <c r="F94" s="314">
        <f t="shared" si="12"/>
        <v>0</v>
      </c>
      <c r="G94" s="314">
        <f t="shared" si="14"/>
        <v>0</v>
      </c>
      <c r="H94" s="314"/>
      <c r="I94" s="314"/>
      <c r="J94" s="314">
        <f t="shared" si="13"/>
        <v>0</v>
      </c>
      <c r="K94" s="316">
        <f t="shared" si="15"/>
        <v>0</v>
      </c>
      <c r="L94" s="314"/>
    </row>
    <row r="95" spans="1:12" ht="12.75" x14ac:dyDescent="0.2">
      <c r="A95" s="54" t="s">
        <v>287</v>
      </c>
      <c r="B95" s="314">
        <f>SUM(B96:B105)</f>
        <v>231532000</v>
      </c>
      <c r="C95" s="314">
        <f>SUM(C96:C105)</f>
        <v>290831644.34000003</v>
      </c>
      <c r="D95" s="314">
        <f>SUM(D96:D105)</f>
        <v>35382694.840000004</v>
      </c>
      <c r="E95" s="314">
        <f>SUM(E96:E105)</f>
        <v>273218780.62</v>
      </c>
      <c r="F95" s="314">
        <f t="shared" si="12"/>
        <v>22.093761017949411</v>
      </c>
      <c r="G95" s="314">
        <f>SUM(G96:G105)</f>
        <v>17612863.72000001</v>
      </c>
      <c r="H95" s="314">
        <f>SUM(H96:H105)</f>
        <v>53729446.550000004</v>
      </c>
      <c r="I95" s="314">
        <f>SUM(I96:I105)</f>
        <v>268358015.86999997</v>
      </c>
      <c r="J95" s="314">
        <f t="shared" si="13"/>
        <v>22.996598254905098</v>
      </c>
      <c r="K95" s="316">
        <f>SUM(K96:K105)</f>
        <v>22473628.470000021</v>
      </c>
      <c r="L95" s="314">
        <f>SUM(L96:L105)</f>
        <v>4860764.75</v>
      </c>
    </row>
    <row r="96" spans="1:12" ht="12.75" x14ac:dyDescent="0.2">
      <c r="A96" s="87" t="s">
        <v>456</v>
      </c>
      <c r="B96" s="314">
        <v>111668500</v>
      </c>
      <c r="C96" s="314">
        <v>140356292.33000001</v>
      </c>
      <c r="D96" s="314">
        <v>19980405.510000002</v>
      </c>
      <c r="E96" s="314">
        <v>132057472.90000001</v>
      </c>
      <c r="F96" s="314">
        <f t="shared" si="12"/>
        <v>10.678790968417619</v>
      </c>
      <c r="G96" s="314">
        <f t="shared" ref="G96:G105" si="16">C96-E96</f>
        <v>8298819.4300000072</v>
      </c>
      <c r="H96" s="314">
        <v>27941320.199999999</v>
      </c>
      <c r="I96" s="314">
        <v>128791814.56999999</v>
      </c>
      <c r="J96" s="314">
        <f t="shared" si="13"/>
        <v>11.03665045586448</v>
      </c>
      <c r="K96" s="316">
        <f t="shared" ref="K96:K105" si="17">C96-I96</f>
        <v>11564477.76000002</v>
      </c>
      <c r="L96" s="314">
        <v>3265658.33</v>
      </c>
    </row>
    <row r="97" spans="1:12" ht="12.75" x14ac:dyDescent="0.2">
      <c r="A97" s="87" t="s">
        <v>457</v>
      </c>
      <c r="B97" s="314">
        <v>8981000</v>
      </c>
      <c r="C97" s="314">
        <v>9589553.4199999999</v>
      </c>
      <c r="D97" s="314">
        <v>-8265.6299999999992</v>
      </c>
      <c r="E97" s="314">
        <v>9405499.7200000007</v>
      </c>
      <c r="F97" s="314">
        <f t="shared" si="12"/>
        <v>0.76057312969670232</v>
      </c>
      <c r="G97" s="314">
        <f t="shared" si="16"/>
        <v>184053.69999999925</v>
      </c>
      <c r="H97" s="314">
        <v>1408448.54</v>
      </c>
      <c r="I97" s="314">
        <v>9405499.7200000007</v>
      </c>
      <c r="J97" s="314">
        <f t="shared" si="13"/>
        <v>0.8059923149537721</v>
      </c>
      <c r="K97" s="316">
        <f t="shared" si="17"/>
        <v>184053.69999999925</v>
      </c>
      <c r="L97" s="314">
        <v>0</v>
      </c>
    </row>
    <row r="98" spans="1:12" ht="12.75" x14ac:dyDescent="0.2">
      <c r="A98" s="87" t="s">
        <v>458</v>
      </c>
      <c r="B98" s="314">
        <v>9002000</v>
      </c>
      <c r="C98" s="314">
        <v>22490772.609999999</v>
      </c>
      <c r="D98" s="314">
        <v>2193937.12</v>
      </c>
      <c r="E98" s="314">
        <v>18915213.109999999</v>
      </c>
      <c r="F98" s="314">
        <f t="shared" si="12"/>
        <v>1.5295734689525664</v>
      </c>
      <c r="G98" s="314">
        <f t="shared" si="16"/>
        <v>3575559.5</v>
      </c>
      <c r="H98" s="314">
        <v>3639236.64</v>
      </c>
      <c r="I98" s="314">
        <v>18877957.579999998</v>
      </c>
      <c r="J98" s="314">
        <f t="shared" si="13"/>
        <v>1.6177225224034462</v>
      </c>
      <c r="K98" s="316">
        <f t="shared" si="17"/>
        <v>3612815.0300000012</v>
      </c>
      <c r="L98" s="314">
        <v>37255.53</v>
      </c>
    </row>
    <row r="99" spans="1:12" ht="12.75" x14ac:dyDescent="0.2">
      <c r="A99" s="87" t="s">
        <v>459</v>
      </c>
      <c r="B99" s="314">
        <v>121000</v>
      </c>
      <c r="C99" s="314">
        <v>201000</v>
      </c>
      <c r="D99" s="314">
        <v>-58392.27</v>
      </c>
      <c r="E99" s="314">
        <v>100607.73</v>
      </c>
      <c r="F99" s="314">
        <f t="shared" si="12"/>
        <v>8.1356162198451265E-3</v>
      </c>
      <c r="G99" s="314">
        <f t="shared" si="16"/>
        <v>100392.27</v>
      </c>
      <c r="H99" s="314">
        <v>22663.21</v>
      </c>
      <c r="I99" s="314">
        <v>100607.73</v>
      </c>
      <c r="J99" s="314">
        <f t="shared" si="13"/>
        <v>8.6214512379937693E-3</v>
      </c>
      <c r="K99" s="316">
        <f t="shared" si="17"/>
        <v>100392.27</v>
      </c>
      <c r="L99" s="314">
        <v>0</v>
      </c>
    </row>
    <row r="100" spans="1:12" ht="12.75" x14ac:dyDescent="0.2">
      <c r="A100" s="87" t="s">
        <v>460</v>
      </c>
      <c r="B100" s="314">
        <v>97946500</v>
      </c>
      <c r="C100" s="314">
        <v>114477025.98</v>
      </c>
      <c r="D100" s="314">
        <v>13203042.75</v>
      </c>
      <c r="E100" s="314">
        <v>109284079.72</v>
      </c>
      <c r="F100" s="314">
        <f t="shared" si="12"/>
        <v>8.8372268367537945</v>
      </c>
      <c r="G100" s="314">
        <f t="shared" si="16"/>
        <v>5192946.2600000054</v>
      </c>
      <c r="H100" s="314">
        <v>20366163.23</v>
      </c>
      <c r="I100" s="314">
        <v>107793887.75</v>
      </c>
      <c r="J100" s="314">
        <f t="shared" si="13"/>
        <v>9.2372598704930429</v>
      </c>
      <c r="K100" s="316">
        <f t="shared" si="17"/>
        <v>6683138.2300000042</v>
      </c>
      <c r="L100" s="314">
        <v>1490191.97</v>
      </c>
    </row>
    <row r="101" spans="1:12" ht="12.75" x14ac:dyDescent="0.2">
      <c r="A101" s="87" t="s">
        <v>461</v>
      </c>
      <c r="B101" s="314">
        <v>1205000</v>
      </c>
      <c r="C101" s="314">
        <v>1177000</v>
      </c>
      <c r="D101" s="314">
        <v>73237.83</v>
      </c>
      <c r="E101" s="314">
        <v>994886.17</v>
      </c>
      <c r="F101" s="314">
        <f t="shared" si="12"/>
        <v>8.0451194570751144E-2</v>
      </c>
      <c r="G101" s="314">
        <f t="shared" si="16"/>
        <v>182113.82999999996</v>
      </c>
      <c r="H101" s="314">
        <v>86734.28</v>
      </c>
      <c r="I101" s="314">
        <v>994886.17</v>
      </c>
      <c r="J101" s="314">
        <f t="shared" si="13"/>
        <v>8.5255502753211712E-2</v>
      </c>
      <c r="K101" s="316">
        <f t="shared" si="17"/>
        <v>182113.82999999996</v>
      </c>
      <c r="L101" s="314">
        <v>0</v>
      </c>
    </row>
    <row r="102" spans="1:12" ht="12.75" x14ac:dyDescent="0.2">
      <c r="A102" s="87" t="s">
        <v>462</v>
      </c>
      <c r="B102" s="314">
        <v>2608000</v>
      </c>
      <c r="C102" s="314">
        <v>2540000</v>
      </c>
      <c r="D102" s="314">
        <v>-1270.47</v>
      </c>
      <c r="E102" s="314">
        <v>2461021.27</v>
      </c>
      <c r="F102" s="314">
        <f t="shared" si="12"/>
        <v>0.19900980333813173</v>
      </c>
      <c r="G102" s="314">
        <f t="shared" si="16"/>
        <v>78978.729999999981</v>
      </c>
      <c r="H102" s="314">
        <v>264880.45</v>
      </c>
      <c r="I102" s="314">
        <v>2393362.35</v>
      </c>
      <c r="J102" s="314">
        <f t="shared" si="13"/>
        <v>0.2050961371991514</v>
      </c>
      <c r="K102" s="316">
        <f t="shared" si="17"/>
        <v>146637.64999999991</v>
      </c>
      <c r="L102" s="314">
        <v>67658.92</v>
      </c>
    </row>
    <row r="103" spans="1:12" ht="12.75" x14ac:dyDescent="0.2">
      <c r="A103" s="87" t="s">
        <v>710</v>
      </c>
      <c r="B103" s="314"/>
      <c r="C103" s="314"/>
      <c r="D103" s="314"/>
      <c r="E103" s="314"/>
      <c r="F103" s="314">
        <f t="shared" si="12"/>
        <v>0</v>
      </c>
      <c r="G103" s="314">
        <f t="shared" si="16"/>
        <v>0</v>
      </c>
      <c r="H103" s="314"/>
      <c r="I103" s="314"/>
      <c r="J103" s="314">
        <f t="shared" si="13"/>
        <v>0</v>
      </c>
      <c r="K103" s="316">
        <f t="shared" si="17"/>
        <v>0</v>
      </c>
      <c r="L103" s="314"/>
    </row>
    <row r="104" spans="1:12" ht="12.75" x14ac:dyDescent="0.2">
      <c r="A104" s="87" t="s">
        <v>426</v>
      </c>
      <c r="B104" s="314"/>
      <c r="C104" s="314"/>
      <c r="D104" s="314"/>
      <c r="E104" s="314"/>
      <c r="F104" s="314">
        <f t="shared" si="12"/>
        <v>0</v>
      </c>
      <c r="G104" s="314">
        <f t="shared" si="16"/>
        <v>0</v>
      </c>
      <c r="H104" s="314"/>
      <c r="I104" s="314"/>
      <c r="J104" s="314">
        <f t="shared" si="13"/>
        <v>0</v>
      </c>
      <c r="K104" s="316">
        <f t="shared" si="17"/>
        <v>0</v>
      </c>
      <c r="L104" s="314"/>
    </row>
    <row r="105" spans="1:12" ht="12.75" x14ac:dyDescent="0.2">
      <c r="A105" s="87" t="s">
        <v>420</v>
      </c>
      <c r="B105" s="314"/>
      <c r="C105" s="314"/>
      <c r="D105" s="314"/>
      <c r="E105" s="314"/>
      <c r="F105" s="314">
        <f t="shared" si="12"/>
        <v>0</v>
      </c>
      <c r="G105" s="314">
        <f t="shared" si="16"/>
        <v>0</v>
      </c>
      <c r="H105" s="314"/>
      <c r="I105" s="314"/>
      <c r="J105" s="314">
        <f t="shared" si="13"/>
        <v>0</v>
      </c>
      <c r="K105" s="316">
        <f t="shared" si="17"/>
        <v>0</v>
      </c>
      <c r="L105" s="314"/>
    </row>
    <row r="106" spans="1:12" ht="12.75" x14ac:dyDescent="0.2">
      <c r="A106" s="54" t="s">
        <v>288</v>
      </c>
      <c r="B106" s="314">
        <f>SUM(B107:B110)</f>
        <v>10255000</v>
      </c>
      <c r="C106" s="314">
        <f>SUM(C107:C110)</f>
        <v>11506576.1</v>
      </c>
      <c r="D106" s="314">
        <f>SUM(D107:D110)</f>
        <v>1356420.52</v>
      </c>
      <c r="E106" s="314">
        <f>SUM(E107:E110)</f>
        <v>10194657.460000001</v>
      </c>
      <c r="F106" s="314">
        <f t="shared" si="12"/>
        <v>0.82438815175872804</v>
      </c>
      <c r="G106" s="314">
        <f>SUM(G107:G110)</f>
        <v>1311918.6400000001</v>
      </c>
      <c r="H106" s="314">
        <f>SUM(H107:H110)</f>
        <v>2386778.2599999998</v>
      </c>
      <c r="I106" s="314">
        <f>SUM(I107:I110)</f>
        <v>10053689.83</v>
      </c>
      <c r="J106" s="314">
        <f t="shared" si="13"/>
        <v>0.86153814057089739</v>
      </c>
      <c r="K106" s="316">
        <f>SUM(K107:K110)</f>
        <v>1452886.27</v>
      </c>
      <c r="L106" s="314">
        <f>SUM(L107:L110)</f>
        <v>140967.63</v>
      </c>
    </row>
    <row r="107" spans="1:12" ht="12.75" x14ac:dyDescent="0.2">
      <c r="A107" s="87" t="s">
        <v>463</v>
      </c>
      <c r="B107" s="314">
        <v>2468000</v>
      </c>
      <c r="C107" s="314">
        <v>3061576.1</v>
      </c>
      <c r="D107" s="314">
        <v>167040.01999999999</v>
      </c>
      <c r="E107" s="314">
        <v>2530605.34</v>
      </c>
      <c r="F107" s="314">
        <f t="shared" si="12"/>
        <v>0.20463669988509525</v>
      </c>
      <c r="G107" s="314">
        <f>C107-E107</f>
        <v>530970.76000000024</v>
      </c>
      <c r="H107" s="314">
        <v>682156.34</v>
      </c>
      <c r="I107" s="314">
        <v>2524243.09</v>
      </c>
      <c r="J107" s="314">
        <f t="shared" si="13"/>
        <v>0.21631179545823884</v>
      </c>
      <c r="K107" s="316">
        <f>C107-I107</f>
        <v>537333.01000000024</v>
      </c>
      <c r="L107" s="314">
        <v>6362.25</v>
      </c>
    </row>
    <row r="108" spans="1:12" ht="12.75" x14ac:dyDescent="0.2">
      <c r="A108" s="87" t="s">
        <v>464</v>
      </c>
      <c r="B108" s="314">
        <v>7787000</v>
      </c>
      <c r="C108" s="314">
        <v>8445000</v>
      </c>
      <c r="D108" s="314">
        <v>1189380.5</v>
      </c>
      <c r="E108" s="314">
        <v>7664052.1200000001</v>
      </c>
      <c r="F108" s="314">
        <f t="shared" si="12"/>
        <v>0.61975145187363267</v>
      </c>
      <c r="G108" s="314">
        <f>C108-E108</f>
        <v>780947.87999999989</v>
      </c>
      <c r="H108" s="314">
        <v>1704621.92</v>
      </c>
      <c r="I108" s="314">
        <v>7529446.7400000002</v>
      </c>
      <c r="J108" s="314">
        <f t="shared" si="13"/>
        <v>0.64522634511265842</v>
      </c>
      <c r="K108" s="316">
        <f>C108-I108</f>
        <v>915553.25999999978</v>
      </c>
      <c r="L108" s="314">
        <v>134605.38</v>
      </c>
    </row>
    <row r="109" spans="1:12" ht="12.75" x14ac:dyDescent="0.2">
      <c r="A109" s="87" t="s">
        <v>426</v>
      </c>
      <c r="B109" s="314"/>
      <c r="C109" s="314"/>
      <c r="D109" s="314"/>
      <c r="E109" s="314"/>
      <c r="F109" s="314">
        <f t="shared" si="12"/>
        <v>0</v>
      </c>
      <c r="G109" s="314">
        <f>C109-E109</f>
        <v>0</v>
      </c>
      <c r="H109" s="314"/>
      <c r="I109" s="314"/>
      <c r="J109" s="314">
        <f t="shared" si="13"/>
        <v>0</v>
      </c>
      <c r="K109" s="316">
        <f>C109-I109</f>
        <v>0</v>
      </c>
      <c r="L109" s="314"/>
    </row>
    <row r="110" spans="1:12" ht="12.75" x14ac:dyDescent="0.2">
      <c r="A110" s="87" t="s">
        <v>420</v>
      </c>
      <c r="B110" s="314"/>
      <c r="C110" s="314"/>
      <c r="D110" s="314"/>
      <c r="E110" s="314"/>
      <c r="F110" s="314">
        <f t="shared" si="12"/>
        <v>0</v>
      </c>
      <c r="G110" s="314">
        <f>C110-E110</f>
        <v>0</v>
      </c>
      <c r="H110" s="314"/>
      <c r="I110" s="314"/>
      <c r="J110" s="314">
        <f t="shared" si="13"/>
        <v>0</v>
      </c>
      <c r="K110" s="316">
        <f>C110-I110</f>
        <v>0</v>
      </c>
      <c r="L110" s="314"/>
    </row>
    <row r="111" spans="1:12" ht="12.75" x14ac:dyDescent="0.2">
      <c r="A111" s="54" t="s">
        <v>289</v>
      </c>
      <c r="B111" s="314">
        <f>SUM(B112:B116)</f>
        <v>0</v>
      </c>
      <c r="C111" s="314">
        <f>SUM(C112:C116)</f>
        <v>0</v>
      </c>
      <c r="D111" s="314">
        <f>SUM(D112:D116)</f>
        <v>0</v>
      </c>
      <c r="E111" s="314">
        <f>SUM(E112:E116)</f>
        <v>0</v>
      </c>
      <c r="F111" s="314">
        <f t="shared" si="12"/>
        <v>0</v>
      </c>
      <c r="G111" s="314">
        <f>SUM(G112:G116)</f>
        <v>0</v>
      </c>
      <c r="H111" s="314">
        <f>SUM(H112:H116)</f>
        <v>0</v>
      </c>
      <c r="I111" s="314">
        <f>SUM(I112:I116)</f>
        <v>0</v>
      </c>
      <c r="J111" s="314">
        <f t="shared" si="13"/>
        <v>0</v>
      </c>
      <c r="K111" s="316">
        <f>SUM(K112:K116)</f>
        <v>0</v>
      </c>
      <c r="L111" s="314">
        <f>SUM(L112:L116)</f>
        <v>0</v>
      </c>
    </row>
    <row r="112" spans="1:12" ht="12.75" x14ac:dyDescent="0.2">
      <c r="A112" s="87" t="s">
        <v>465</v>
      </c>
      <c r="B112" s="314"/>
      <c r="C112" s="314"/>
      <c r="D112" s="314"/>
      <c r="E112" s="314"/>
      <c r="F112" s="314">
        <f t="shared" si="12"/>
        <v>0</v>
      </c>
      <c r="G112" s="314">
        <f>C112-E112</f>
        <v>0</v>
      </c>
      <c r="H112" s="314"/>
      <c r="I112" s="314"/>
      <c r="J112" s="314">
        <f t="shared" si="13"/>
        <v>0</v>
      </c>
      <c r="K112" s="316">
        <f>C112-I112</f>
        <v>0</v>
      </c>
      <c r="L112" s="314"/>
    </row>
    <row r="113" spans="1:12" ht="12.75" x14ac:dyDescent="0.2">
      <c r="A113" s="87" t="s">
        <v>466</v>
      </c>
      <c r="B113" s="314"/>
      <c r="C113" s="314"/>
      <c r="D113" s="314"/>
      <c r="E113" s="314"/>
      <c r="F113" s="314">
        <f t="shared" si="12"/>
        <v>0</v>
      </c>
      <c r="G113" s="314">
        <f>C113-E113</f>
        <v>0</v>
      </c>
      <c r="H113" s="314"/>
      <c r="I113" s="314"/>
      <c r="J113" s="314">
        <f t="shared" si="13"/>
        <v>0</v>
      </c>
      <c r="K113" s="316">
        <f>C113-I113</f>
        <v>0</v>
      </c>
      <c r="L113" s="314"/>
    </row>
    <row r="114" spans="1:12" ht="12.75" x14ac:dyDescent="0.2">
      <c r="A114" s="87" t="s">
        <v>467</v>
      </c>
      <c r="B114" s="314"/>
      <c r="C114" s="314"/>
      <c r="D114" s="314"/>
      <c r="E114" s="314"/>
      <c r="F114" s="314">
        <f t="shared" si="12"/>
        <v>0</v>
      </c>
      <c r="G114" s="314">
        <f>C114-E114</f>
        <v>0</v>
      </c>
      <c r="H114" s="314"/>
      <c r="I114" s="314"/>
      <c r="J114" s="314">
        <f t="shared" si="13"/>
        <v>0</v>
      </c>
      <c r="K114" s="316">
        <f>C114-I114</f>
        <v>0</v>
      </c>
      <c r="L114" s="314"/>
    </row>
    <row r="115" spans="1:12" ht="12.75" x14ac:dyDescent="0.2">
      <c r="A115" s="87" t="s">
        <v>426</v>
      </c>
      <c r="B115" s="314"/>
      <c r="C115" s="314"/>
      <c r="D115" s="314"/>
      <c r="E115" s="314"/>
      <c r="F115" s="314">
        <f t="shared" ref="F115:F146" si="18">IF($E$213&gt;0,E115/$E$213,0)*100</f>
        <v>0</v>
      </c>
      <c r="G115" s="314">
        <f>C115-E115</f>
        <v>0</v>
      </c>
      <c r="H115" s="314"/>
      <c r="I115" s="314"/>
      <c r="J115" s="314">
        <f t="shared" ref="J115:J146" si="19">IF($I$213&gt;0,I115/$I$213,0)*100</f>
        <v>0</v>
      </c>
      <c r="K115" s="316">
        <f>C115-I115</f>
        <v>0</v>
      </c>
      <c r="L115" s="314"/>
    </row>
    <row r="116" spans="1:12" ht="12.75" x14ac:dyDescent="0.2">
      <c r="A116" s="87" t="s">
        <v>420</v>
      </c>
      <c r="B116" s="314"/>
      <c r="C116" s="314"/>
      <c r="D116" s="314"/>
      <c r="E116" s="314"/>
      <c r="F116" s="314">
        <f t="shared" si="18"/>
        <v>0</v>
      </c>
      <c r="G116" s="314">
        <f>C116-E116</f>
        <v>0</v>
      </c>
      <c r="H116" s="314"/>
      <c r="I116" s="314"/>
      <c r="J116" s="314">
        <f t="shared" si="19"/>
        <v>0</v>
      </c>
      <c r="K116" s="316">
        <f>C116-I116</f>
        <v>0</v>
      </c>
      <c r="L116" s="314"/>
    </row>
    <row r="117" spans="1:12" ht="12.75" x14ac:dyDescent="0.2">
      <c r="A117" s="54" t="s">
        <v>290</v>
      </c>
      <c r="B117" s="314">
        <f>SUM(B118:B122)</f>
        <v>118961300</v>
      </c>
      <c r="C117" s="314">
        <f>SUM(C118:C122)</f>
        <v>180206277.88</v>
      </c>
      <c r="D117" s="314">
        <f>SUM(D118:D122)</f>
        <v>16561808.35</v>
      </c>
      <c r="E117" s="314">
        <f>SUM(E118:E122)</f>
        <v>171161867.44</v>
      </c>
      <c r="F117" s="314">
        <f t="shared" si="18"/>
        <v>13.840957001652313</v>
      </c>
      <c r="G117" s="314">
        <f>SUM(G118:G122)</f>
        <v>9044410.4400000125</v>
      </c>
      <c r="H117" s="314">
        <f>SUM(H118:H122)</f>
        <v>27030424.75</v>
      </c>
      <c r="I117" s="314">
        <f>SUM(I118:I122)</f>
        <v>150408107.44999999</v>
      </c>
      <c r="J117" s="314">
        <f t="shared" si="19"/>
        <v>12.88903113288713</v>
      </c>
      <c r="K117" s="316">
        <f>SUM(K118:K122)</f>
        <v>29798170.430000007</v>
      </c>
      <c r="L117" s="314">
        <f>SUM(L118:L122)</f>
        <v>20753759.990000002</v>
      </c>
    </row>
    <row r="118" spans="1:12" ht="12.75" x14ac:dyDescent="0.2">
      <c r="A118" s="87" t="s">
        <v>468</v>
      </c>
      <c r="B118" s="314">
        <v>24191300</v>
      </c>
      <c r="C118" s="314">
        <v>63878790.18</v>
      </c>
      <c r="D118" s="314">
        <v>2978640.94</v>
      </c>
      <c r="E118" s="314">
        <v>61199416.369999997</v>
      </c>
      <c r="F118" s="314">
        <f t="shared" si="18"/>
        <v>4.9488738535779246</v>
      </c>
      <c r="G118" s="314">
        <f>C118-E118</f>
        <v>2679373.8100000024</v>
      </c>
      <c r="H118" s="314">
        <v>9518259.6699999999</v>
      </c>
      <c r="I118" s="314">
        <v>47239327.880000003</v>
      </c>
      <c r="J118" s="314">
        <f t="shared" si="19"/>
        <v>4.048114015026675</v>
      </c>
      <c r="K118" s="316">
        <f>C118-I118</f>
        <v>16639462.299999997</v>
      </c>
      <c r="L118" s="314">
        <v>13960088.49</v>
      </c>
    </row>
    <row r="119" spans="1:12" ht="12.75" x14ac:dyDescent="0.2">
      <c r="A119" s="87" t="s">
        <v>469</v>
      </c>
      <c r="B119" s="314">
        <v>94470000</v>
      </c>
      <c r="C119" s="314">
        <v>113677487.7</v>
      </c>
      <c r="D119" s="314">
        <v>13402650.41</v>
      </c>
      <c r="E119" s="314">
        <v>107312451.06999999</v>
      </c>
      <c r="F119" s="314">
        <f t="shared" si="18"/>
        <v>8.6777916320786534</v>
      </c>
      <c r="G119" s="314">
        <f>C119-E119</f>
        <v>6365036.6300000101</v>
      </c>
      <c r="H119" s="314">
        <v>17070274.329999998</v>
      </c>
      <c r="I119" s="314">
        <v>100678621.31999999</v>
      </c>
      <c r="J119" s="314">
        <f t="shared" si="19"/>
        <v>8.6275261793385063</v>
      </c>
      <c r="K119" s="316">
        <f>C119-I119</f>
        <v>12998866.38000001</v>
      </c>
      <c r="L119" s="314">
        <v>6633829.75</v>
      </c>
    </row>
    <row r="120" spans="1:12" ht="12.75" x14ac:dyDescent="0.2">
      <c r="A120" s="87" t="s">
        <v>470</v>
      </c>
      <c r="B120" s="314">
        <v>300000</v>
      </c>
      <c r="C120" s="314">
        <v>2650000</v>
      </c>
      <c r="D120" s="314">
        <v>180517</v>
      </c>
      <c r="E120" s="314">
        <v>2650000</v>
      </c>
      <c r="F120" s="314">
        <f t="shared" si="18"/>
        <v>0.21429151599573498</v>
      </c>
      <c r="G120" s="314">
        <f>C120-E120</f>
        <v>0</v>
      </c>
      <c r="H120" s="314">
        <v>441890.75</v>
      </c>
      <c r="I120" s="314">
        <v>2490158.25</v>
      </c>
      <c r="J120" s="314">
        <f t="shared" si="19"/>
        <v>0.2133909385219496</v>
      </c>
      <c r="K120" s="316">
        <f>C120-I120</f>
        <v>159841.75</v>
      </c>
      <c r="L120" s="314">
        <v>159841.75</v>
      </c>
    </row>
    <row r="121" spans="1:12" ht="12.75" x14ac:dyDescent="0.2">
      <c r="A121" s="87" t="s">
        <v>426</v>
      </c>
      <c r="B121" s="314"/>
      <c r="C121" s="314"/>
      <c r="D121" s="314"/>
      <c r="E121" s="314"/>
      <c r="F121" s="314">
        <f t="shared" si="18"/>
        <v>0</v>
      </c>
      <c r="G121" s="314">
        <f>C121-E121</f>
        <v>0</v>
      </c>
      <c r="H121" s="314"/>
      <c r="I121" s="314"/>
      <c r="J121" s="314">
        <f t="shared" si="19"/>
        <v>0</v>
      </c>
      <c r="K121" s="316">
        <f>C121-I121</f>
        <v>0</v>
      </c>
      <c r="L121" s="314"/>
    </row>
    <row r="122" spans="1:12" ht="12.75" x14ac:dyDescent="0.2">
      <c r="A122" s="87" t="s">
        <v>420</v>
      </c>
      <c r="B122" s="314"/>
      <c r="C122" s="314"/>
      <c r="D122" s="314"/>
      <c r="E122" s="314"/>
      <c r="F122" s="314">
        <f t="shared" si="18"/>
        <v>0</v>
      </c>
      <c r="G122" s="314">
        <f>C122-E122</f>
        <v>0</v>
      </c>
      <c r="H122" s="314"/>
      <c r="I122" s="314"/>
      <c r="J122" s="314">
        <f t="shared" si="19"/>
        <v>0</v>
      </c>
      <c r="K122" s="316">
        <f>C122-I122</f>
        <v>0</v>
      </c>
      <c r="L122" s="314"/>
    </row>
    <row r="123" spans="1:12" ht="12.75" x14ac:dyDescent="0.2">
      <c r="A123" s="54" t="s">
        <v>291</v>
      </c>
      <c r="B123" s="314">
        <f>SUM(B124:B127)</f>
        <v>2767000</v>
      </c>
      <c r="C123" s="314">
        <f>SUM(C124:C127)</f>
        <v>37372670</v>
      </c>
      <c r="D123" s="314">
        <f>SUM(D124:D127)</f>
        <v>341194.1</v>
      </c>
      <c r="E123" s="314">
        <f>SUM(E124:E127)</f>
        <v>34826806.840000004</v>
      </c>
      <c r="F123" s="314">
        <f t="shared" si="18"/>
        <v>2.8162600886921636</v>
      </c>
      <c r="G123" s="314">
        <f>SUM(G124:G127)</f>
        <v>2545863.1599999964</v>
      </c>
      <c r="H123" s="314">
        <f>SUM(H124:H127)</f>
        <v>331098.09999999998</v>
      </c>
      <c r="I123" s="314">
        <f>SUM(I124:I127)</f>
        <v>34758242.289999999</v>
      </c>
      <c r="J123" s="314">
        <f t="shared" si="19"/>
        <v>2.9785632875486598</v>
      </c>
      <c r="K123" s="316">
        <f>SUM(K124:K127)</f>
        <v>2614427.7100000009</v>
      </c>
      <c r="L123" s="314">
        <f>SUM(L124:L127)</f>
        <v>68564.55</v>
      </c>
    </row>
    <row r="124" spans="1:12" ht="12.75" x14ac:dyDescent="0.2">
      <c r="A124" s="87" t="s">
        <v>471</v>
      </c>
      <c r="B124" s="314"/>
      <c r="C124" s="314"/>
      <c r="D124" s="314"/>
      <c r="E124" s="314"/>
      <c r="F124" s="314">
        <f t="shared" si="18"/>
        <v>0</v>
      </c>
      <c r="G124" s="314">
        <f>C124-E124</f>
        <v>0</v>
      </c>
      <c r="H124" s="314"/>
      <c r="I124" s="314"/>
      <c r="J124" s="314">
        <f t="shared" si="19"/>
        <v>0</v>
      </c>
      <c r="K124" s="316">
        <f>C124-I124</f>
        <v>0</v>
      </c>
      <c r="L124" s="314"/>
    </row>
    <row r="125" spans="1:12" ht="12.75" x14ac:dyDescent="0.2">
      <c r="A125" s="87" t="s">
        <v>472</v>
      </c>
      <c r="B125" s="314">
        <v>2767000</v>
      </c>
      <c r="C125" s="314">
        <v>37372670</v>
      </c>
      <c r="D125" s="314">
        <v>341194.1</v>
      </c>
      <c r="E125" s="314">
        <v>34826806.840000004</v>
      </c>
      <c r="F125" s="314">
        <f t="shared" si="18"/>
        <v>2.8162600886921636</v>
      </c>
      <c r="G125" s="314">
        <f>C125-E125</f>
        <v>2545863.1599999964</v>
      </c>
      <c r="H125" s="314">
        <v>331098.09999999998</v>
      </c>
      <c r="I125" s="314">
        <v>34758242.289999999</v>
      </c>
      <c r="J125" s="314">
        <f t="shared" si="19"/>
        <v>2.9785632875486598</v>
      </c>
      <c r="K125" s="316">
        <f>C125-I125</f>
        <v>2614427.7100000009</v>
      </c>
      <c r="L125" s="314">
        <v>68564.55</v>
      </c>
    </row>
    <row r="126" spans="1:12" ht="12.75" x14ac:dyDescent="0.2">
      <c r="A126" s="87" t="s">
        <v>426</v>
      </c>
      <c r="B126" s="314"/>
      <c r="C126" s="314"/>
      <c r="D126" s="314"/>
      <c r="E126" s="314"/>
      <c r="F126" s="314">
        <f t="shared" si="18"/>
        <v>0</v>
      </c>
      <c r="G126" s="314">
        <f>C126-E126</f>
        <v>0</v>
      </c>
      <c r="H126" s="314"/>
      <c r="I126" s="314"/>
      <c r="J126" s="314">
        <f t="shared" si="19"/>
        <v>0</v>
      </c>
      <c r="K126" s="316">
        <f>C126-I126</f>
        <v>0</v>
      </c>
      <c r="L126" s="314"/>
    </row>
    <row r="127" spans="1:12" ht="12.75" x14ac:dyDescent="0.2">
      <c r="A127" s="87" t="s">
        <v>420</v>
      </c>
      <c r="B127" s="314"/>
      <c r="C127" s="314"/>
      <c r="D127" s="314"/>
      <c r="E127" s="314"/>
      <c r="F127" s="314">
        <f t="shared" si="18"/>
        <v>0</v>
      </c>
      <c r="G127" s="314">
        <f>C127-E127</f>
        <v>0</v>
      </c>
      <c r="H127" s="314"/>
      <c r="I127" s="314"/>
      <c r="J127" s="314">
        <f t="shared" si="19"/>
        <v>0</v>
      </c>
      <c r="K127" s="316">
        <f>C127-I127</f>
        <v>0</v>
      </c>
      <c r="L127" s="314"/>
    </row>
    <row r="128" spans="1:12" ht="12.75" x14ac:dyDescent="0.2">
      <c r="A128" s="54" t="s">
        <v>292</v>
      </c>
      <c r="B128" s="314">
        <f>SUM(B129:B132)</f>
        <v>103026000</v>
      </c>
      <c r="C128" s="314">
        <f>SUM(C129:C132)</f>
        <v>135309688.18000001</v>
      </c>
      <c r="D128" s="314">
        <f>SUM(D129:D132)</f>
        <v>11521992.18</v>
      </c>
      <c r="E128" s="314">
        <f>SUM(E129:E132)</f>
        <v>115041294.48999999</v>
      </c>
      <c r="F128" s="314">
        <f t="shared" si="18"/>
        <v>9.3027824144807152</v>
      </c>
      <c r="G128" s="314">
        <f>SUM(G129:G132)</f>
        <v>20268393.690000013</v>
      </c>
      <c r="H128" s="314">
        <f>SUM(H129:H132)</f>
        <v>18585666.129999999</v>
      </c>
      <c r="I128" s="314">
        <f>SUM(I129:I132)</f>
        <v>99442553.180000007</v>
      </c>
      <c r="J128" s="314">
        <f t="shared" si="19"/>
        <v>8.5216028949562066</v>
      </c>
      <c r="K128" s="316">
        <f>SUM(K129:K132)</f>
        <v>35867135</v>
      </c>
      <c r="L128" s="314">
        <f>SUM(L129:L132)</f>
        <v>15598741.310000001</v>
      </c>
    </row>
    <row r="129" spans="1:12" ht="12.75" x14ac:dyDescent="0.2">
      <c r="A129" s="87" t="s">
        <v>473</v>
      </c>
      <c r="B129" s="314"/>
      <c r="C129" s="314"/>
      <c r="D129" s="314"/>
      <c r="E129" s="314"/>
      <c r="F129" s="314">
        <f t="shared" si="18"/>
        <v>0</v>
      </c>
      <c r="G129" s="314">
        <f>C129-E129</f>
        <v>0</v>
      </c>
      <c r="H129" s="314"/>
      <c r="I129" s="314"/>
      <c r="J129" s="314">
        <f t="shared" si="19"/>
        <v>0</v>
      </c>
      <c r="K129" s="316">
        <f>C129-I129</f>
        <v>0</v>
      </c>
      <c r="L129" s="314"/>
    </row>
    <row r="130" spans="1:12" ht="12.75" x14ac:dyDescent="0.2">
      <c r="A130" s="87" t="s">
        <v>474</v>
      </c>
      <c r="B130" s="314">
        <v>103026000</v>
      </c>
      <c r="C130" s="314">
        <v>135309688.18000001</v>
      </c>
      <c r="D130" s="314">
        <v>11521992.18</v>
      </c>
      <c r="E130" s="314">
        <v>115041294.48999999</v>
      </c>
      <c r="F130" s="314">
        <f t="shared" si="18"/>
        <v>9.3027824144807152</v>
      </c>
      <c r="G130" s="314">
        <f>C130-E130</f>
        <v>20268393.690000013</v>
      </c>
      <c r="H130" s="314">
        <v>18585666.129999999</v>
      </c>
      <c r="I130" s="314">
        <v>99442553.180000007</v>
      </c>
      <c r="J130" s="314">
        <f t="shared" si="19"/>
        <v>8.5216028949562066</v>
      </c>
      <c r="K130" s="316">
        <f>C130-I130</f>
        <v>35867135</v>
      </c>
      <c r="L130" s="314">
        <v>15598741.310000001</v>
      </c>
    </row>
    <row r="131" spans="1:12" ht="12.75" x14ac:dyDescent="0.2">
      <c r="A131" s="87" t="s">
        <v>426</v>
      </c>
      <c r="B131" s="314"/>
      <c r="C131" s="314"/>
      <c r="D131" s="314"/>
      <c r="E131" s="314"/>
      <c r="F131" s="314">
        <f t="shared" si="18"/>
        <v>0</v>
      </c>
      <c r="G131" s="314">
        <f>C131-E131</f>
        <v>0</v>
      </c>
      <c r="H131" s="314"/>
      <c r="I131" s="314"/>
      <c r="J131" s="314">
        <f t="shared" si="19"/>
        <v>0</v>
      </c>
      <c r="K131" s="316">
        <f>C131-I131</f>
        <v>0</v>
      </c>
      <c r="L131" s="314"/>
    </row>
    <row r="132" spans="1:12" ht="12.75" x14ac:dyDescent="0.2">
      <c r="A132" s="87" t="s">
        <v>420</v>
      </c>
      <c r="B132" s="314"/>
      <c r="C132" s="314"/>
      <c r="D132" s="314"/>
      <c r="E132" s="314"/>
      <c r="F132" s="314">
        <f t="shared" si="18"/>
        <v>0</v>
      </c>
      <c r="G132" s="314">
        <f>C132-E132</f>
        <v>0</v>
      </c>
      <c r="H132" s="314"/>
      <c r="I132" s="314"/>
      <c r="J132" s="314">
        <f t="shared" si="19"/>
        <v>0</v>
      </c>
      <c r="K132" s="316">
        <f>C132-I132</f>
        <v>0</v>
      </c>
      <c r="L132" s="314"/>
    </row>
    <row r="133" spans="1:12" ht="12.75" x14ac:dyDescent="0.2">
      <c r="A133" s="54" t="s">
        <v>293</v>
      </c>
      <c r="B133" s="314">
        <f>SUM(B134:B140)</f>
        <v>840000</v>
      </c>
      <c r="C133" s="314">
        <f>SUM(C134:C140)</f>
        <v>847000</v>
      </c>
      <c r="D133" s="314">
        <f>SUM(D134:D140)</f>
        <v>183284.21</v>
      </c>
      <c r="E133" s="314">
        <f>SUM(E134:E140)</f>
        <v>810645.32000000007</v>
      </c>
      <c r="F133" s="314">
        <f t="shared" si="18"/>
        <v>6.5552609267036877E-2</v>
      </c>
      <c r="G133" s="314">
        <f>SUM(G134:G140)</f>
        <v>36354.679999999993</v>
      </c>
      <c r="H133" s="314">
        <f>SUM(H134:H140)</f>
        <v>399742.43</v>
      </c>
      <c r="I133" s="314">
        <f>SUM(I134:I140)</f>
        <v>786711.66</v>
      </c>
      <c r="J133" s="314">
        <f t="shared" si="19"/>
        <v>6.7416253354003058E-2</v>
      </c>
      <c r="K133" s="316">
        <f>SUM(K134:K140)</f>
        <v>60288.339999999967</v>
      </c>
      <c r="L133" s="314">
        <f>SUM(L134:L140)</f>
        <v>23933.66</v>
      </c>
    </row>
    <row r="134" spans="1:12" ht="12.75" x14ac:dyDescent="0.2">
      <c r="A134" s="87" t="s">
        <v>475</v>
      </c>
      <c r="B134" s="314">
        <v>320000</v>
      </c>
      <c r="C134" s="314">
        <v>327000</v>
      </c>
      <c r="D134" s="314">
        <v>183284.21</v>
      </c>
      <c r="E134" s="314">
        <v>294630.56</v>
      </c>
      <c r="F134" s="314">
        <f t="shared" si="18"/>
        <v>2.3825218626819758E-2</v>
      </c>
      <c r="G134" s="314">
        <f t="shared" ref="G134:G140" si="20">C134-E134</f>
        <v>32369.440000000002</v>
      </c>
      <c r="H134" s="314">
        <v>194091.05</v>
      </c>
      <c r="I134" s="314">
        <v>270696.90000000002</v>
      </c>
      <c r="J134" s="314">
        <f t="shared" si="19"/>
        <v>2.3197025950452078E-2</v>
      </c>
      <c r="K134" s="316">
        <f t="shared" ref="K134:K140" si="21">C134-I134</f>
        <v>56303.099999999977</v>
      </c>
      <c r="L134" s="314">
        <v>23933.66</v>
      </c>
    </row>
    <row r="135" spans="1:12" ht="12.75" x14ac:dyDescent="0.2">
      <c r="A135" s="87" t="s">
        <v>476</v>
      </c>
      <c r="B135" s="314"/>
      <c r="C135" s="314"/>
      <c r="D135" s="314"/>
      <c r="E135" s="314"/>
      <c r="F135" s="314">
        <f t="shared" si="18"/>
        <v>0</v>
      </c>
      <c r="G135" s="314">
        <f t="shared" si="20"/>
        <v>0</v>
      </c>
      <c r="H135" s="314"/>
      <c r="I135" s="314"/>
      <c r="J135" s="314">
        <f t="shared" si="19"/>
        <v>0</v>
      </c>
      <c r="K135" s="316">
        <f t="shared" si="21"/>
        <v>0</v>
      </c>
      <c r="L135" s="314"/>
    </row>
    <row r="136" spans="1:12" ht="12.75" x14ac:dyDescent="0.2">
      <c r="A136" s="87" t="s">
        <v>477</v>
      </c>
      <c r="B136" s="314"/>
      <c r="C136" s="314"/>
      <c r="D136" s="314"/>
      <c r="E136" s="314"/>
      <c r="F136" s="314">
        <f t="shared" si="18"/>
        <v>0</v>
      </c>
      <c r="G136" s="314">
        <f t="shared" si="20"/>
        <v>0</v>
      </c>
      <c r="H136" s="314"/>
      <c r="I136" s="314"/>
      <c r="J136" s="314">
        <f t="shared" si="19"/>
        <v>0</v>
      </c>
      <c r="K136" s="316">
        <f t="shared" si="21"/>
        <v>0</v>
      </c>
      <c r="L136" s="314"/>
    </row>
    <row r="137" spans="1:12" ht="12.75" x14ac:dyDescent="0.2">
      <c r="A137" s="87" t="s">
        <v>478</v>
      </c>
      <c r="B137" s="314">
        <v>520000</v>
      </c>
      <c r="C137" s="314">
        <v>520000</v>
      </c>
      <c r="D137" s="314">
        <v>0</v>
      </c>
      <c r="E137" s="314">
        <v>516014.76</v>
      </c>
      <c r="F137" s="314">
        <f t="shared" si="18"/>
        <v>4.1727390640217119E-2</v>
      </c>
      <c r="G137" s="314">
        <f t="shared" si="20"/>
        <v>3985.2399999999907</v>
      </c>
      <c r="H137" s="314">
        <v>205651.38</v>
      </c>
      <c r="I137" s="314">
        <v>516014.76</v>
      </c>
      <c r="J137" s="314">
        <f t="shared" si="19"/>
        <v>4.4219227403550984E-2</v>
      </c>
      <c r="K137" s="316">
        <f t="shared" si="21"/>
        <v>3985.2399999999907</v>
      </c>
      <c r="L137" s="314">
        <v>0</v>
      </c>
    </row>
    <row r="138" spans="1:12" ht="12.75" x14ac:dyDescent="0.2">
      <c r="A138" s="87" t="s">
        <v>479</v>
      </c>
      <c r="B138" s="314"/>
      <c r="C138" s="314"/>
      <c r="D138" s="314"/>
      <c r="E138" s="314"/>
      <c r="F138" s="314">
        <f t="shared" si="18"/>
        <v>0</v>
      </c>
      <c r="G138" s="314">
        <f t="shared" si="20"/>
        <v>0</v>
      </c>
      <c r="H138" s="314"/>
      <c r="I138" s="314"/>
      <c r="J138" s="314">
        <f t="shared" si="19"/>
        <v>0</v>
      </c>
      <c r="K138" s="316">
        <f t="shared" si="21"/>
        <v>0</v>
      </c>
      <c r="L138" s="314"/>
    </row>
    <row r="139" spans="1:12" ht="12.75" x14ac:dyDescent="0.2">
      <c r="A139" s="87" t="s">
        <v>426</v>
      </c>
      <c r="B139" s="314"/>
      <c r="C139" s="314"/>
      <c r="D139" s="314"/>
      <c r="E139" s="314"/>
      <c r="F139" s="314">
        <f t="shared" si="18"/>
        <v>0</v>
      </c>
      <c r="G139" s="314">
        <f t="shared" si="20"/>
        <v>0</v>
      </c>
      <c r="H139" s="314"/>
      <c r="I139" s="314"/>
      <c r="J139" s="314">
        <f t="shared" si="19"/>
        <v>0</v>
      </c>
      <c r="K139" s="316">
        <f t="shared" si="21"/>
        <v>0</v>
      </c>
      <c r="L139" s="314"/>
    </row>
    <row r="140" spans="1:12" ht="12.75" x14ac:dyDescent="0.2">
      <c r="A140" s="87" t="s">
        <v>420</v>
      </c>
      <c r="B140" s="314"/>
      <c r="C140" s="314"/>
      <c r="D140" s="314"/>
      <c r="E140" s="314"/>
      <c r="F140" s="314">
        <f t="shared" si="18"/>
        <v>0</v>
      </c>
      <c r="G140" s="314">
        <f t="shared" si="20"/>
        <v>0</v>
      </c>
      <c r="H140" s="314"/>
      <c r="I140" s="314"/>
      <c r="J140" s="314">
        <f t="shared" si="19"/>
        <v>0</v>
      </c>
      <c r="K140" s="316">
        <f t="shared" si="21"/>
        <v>0</v>
      </c>
      <c r="L140" s="314"/>
    </row>
    <row r="141" spans="1:12" ht="12.75" x14ac:dyDescent="0.2">
      <c r="A141" s="54" t="s">
        <v>294</v>
      </c>
      <c r="B141" s="314">
        <f>SUM(B142:B146)</f>
        <v>0</v>
      </c>
      <c r="C141" s="314">
        <f>SUM(C142:C146)</f>
        <v>0</v>
      </c>
      <c r="D141" s="314">
        <f>SUM(D142:D146)</f>
        <v>0</v>
      </c>
      <c r="E141" s="314">
        <f>SUM(E142:E146)</f>
        <v>0</v>
      </c>
      <c r="F141" s="314">
        <f t="shared" si="18"/>
        <v>0</v>
      </c>
      <c r="G141" s="314">
        <f>SUM(G142:G146)</f>
        <v>0</v>
      </c>
      <c r="H141" s="314">
        <f>SUM(H142:H146)</f>
        <v>0</v>
      </c>
      <c r="I141" s="314">
        <f>SUM(I142:I146)</f>
        <v>0</v>
      </c>
      <c r="J141" s="314">
        <f t="shared" si="19"/>
        <v>0</v>
      </c>
      <c r="K141" s="316">
        <f>SUM(K142:K146)</f>
        <v>0</v>
      </c>
      <c r="L141" s="314">
        <f>SUM(L142:L146)</f>
        <v>0</v>
      </c>
    </row>
    <row r="142" spans="1:12" ht="12.75" x14ac:dyDescent="0.2">
      <c r="A142" s="87" t="s">
        <v>480</v>
      </c>
      <c r="B142" s="314"/>
      <c r="C142" s="314"/>
      <c r="D142" s="314"/>
      <c r="E142" s="314"/>
      <c r="F142" s="314">
        <f t="shared" si="18"/>
        <v>0</v>
      </c>
      <c r="G142" s="314">
        <f>C142-E142</f>
        <v>0</v>
      </c>
      <c r="H142" s="314"/>
      <c r="I142" s="314"/>
      <c r="J142" s="314">
        <f t="shared" si="19"/>
        <v>0</v>
      </c>
      <c r="K142" s="316">
        <f>C142-I142</f>
        <v>0</v>
      </c>
      <c r="L142" s="314"/>
    </row>
    <row r="143" spans="1:12" ht="12.75" x14ac:dyDescent="0.2">
      <c r="A143" s="87" t="s">
        <v>481</v>
      </c>
      <c r="B143" s="314"/>
      <c r="C143" s="314"/>
      <c r="D143" s="314"/>
      <c r="E143" s="314"/>
      <c r="F143" s="314">
        <f t="shared" si="18"/>
        <v>0</v>
      </c>
      <c r="G143" s="314">
        <f>C143-E143</f>
        <v>0</v>
      </c>
      <c r="H143" s="314"/>
      <c r="I143" s="314"/>
      <c r="J143" s="314">
        <f t="shared" si="19"/>
        <v>0</v>
      </c>
      <c r="K143" s="316">
        <f>C143-I143</f>
        <v>0</v>
      </c>
      <c r="L143" s="314"/>
    </row>
    <row r="144" spans="1:12" ht="12.75" x14ac:dyDescent="0.2">
      <c r="A144" s="87" t="s">
        <v>482</v>
      </c>
      <c r="B144" s="314"/>
      <c r="C144" s="314"/>
      <c r="D144" s="314"/>
      <c r="E144" s="314"/>
      <c r="F144" s="314">
        <f t="shared" si="18"/>
        <v>0</v>
      </c>
      <c r="G144" s="314">
        <f>C144-E144</f>
        <v>0</v>
      </c>
      <c r="H144" s="314"/>
      <c r="I144" s="314"/>
      <c r="J144" s="314">
        <f t="shared" si="19"/>
        <v>0</v>
      </c>
      <c r="K144" s="316">
        <f>C144-I144</f>
        <v>0</v>
      </c>
      <c r="L144" s="314"/>
    </row>
    <row r="145" spans="1:12" ht="12.75" x14ac:dyDescent="0.2">
      <c r="A145" s="87" t="s">
        <v>426</v>
      </c>
      <c r="B145" s="314"/>
      <c r="C145" s="314"/>
      <c r="D145" s="314"/>
      <c r="E145" s="314"/>
      <c r="F145" s="314">
        <f t="shared" si="18"/>
        <v>0</v>
      </c>
      <c r="G145" s="314">
        <f>C145-E145</f>
        <v>0</v>
      </c>
      <c r="H145" s="314"/>
      <c r="I145" s="314"/>
      <c r="J145" s="314">
        <f t="shared" si="19"/>
        <v>0</v>
      </c>
      <c r="K145" s="316">
        <f>C145-I145</f>
        <v>0</v>
      </c>
      <c r="L145" s="314"/>
    </row>
    <row r="146" spans="1:12" ht="12.75" x14ac:dyDescent="0.2">
      <c r="A146" s="87" t="s">
        <v>420</v>
      </c>
      <c r="B146" s="314"/>
      <c r="C146" s="314"/>
      <c r="D146" s="314"/>
      <c r="E146" s="314"/>
      <c r="F146" s="314">
        <f t="shared" si="18"/>
        <v>0</v>
      </c>
      <c r="G146" s="314">
        <f>C146-E146</f>
        <v>0</v>
      </c>
      <c r="H146" s="314"/>
      <c r="I146" s="314"/>
      <c r="J146" s="314">
        <f t="shared" si="19"/>
        <v>0</v>
      </c>
      <c r="K146" s="316">
        <f>C146-I146</f>
        <v>0</v>
      </c>
      <c r="L146" s="314"/>
    </row>
    <row r="147" spans="1:12" ht="12.75" x14ac:dyDescent="0.2">
      <c r="A147" s="54" t="s">
        <v>295</v>
      </c>
      <c r="B147" s="314">
        <f>SUM(B148:B154)</f>
        <v>0</v>
      </c>
      <c r="C147" s="314">
        <f>SUM(C148:C154)</f>
        <v>0</v>
      </c>
      <c r="D147" s="314">
        <f>SUM(D148:D154)</f>
        <v>0</v>
      </c>
      <c r="E147" s="314">
        <f>SUM(E148:E154)</f>
        <v>0</v>
      </c>
      <c r="F147" s="314">
        <f t="shared" ref="F147:F178" si="22">IF($E$213&gt;0,E147/$E$213,0)*100</f>
        <v>0</v>
      </c>
      <c r="G147" s="314">
        <f>SUM(G148:G154)</f>
        <v>0</v>
      </c>
      <c r="H147" s="314">
        <f>SUM(H148:H154)</f>
        <v>0</v>
      </c>
      <c r="I147" s="314">
        <f>SUM(I148:I154)</f>
        <v>0</v>
      </c>
      <c r="J147" s="314">
        <f t="shared" ref="J147:J178" si="23">IF($I$213&gt;0,I147/$I$213,0)*100</f>
        <v>0</v>
      </c>
      <c r="K147" s="316">
        <f>SUM(K148:K154)</f>
        <v>0</v>
      </c>
      <c r="L147" s="314">
        <f>SUM(L148:L154)</f>
        <v>0</v>
      </c>
    </row>
    <row r="148" spans="1:12" ht="12.75" x14ac:dyDescent="0.2">
      <c r="A148" s="87" t="s">
        <v>483</v>
      </c>
      <c r="B148" s="314"/>
      <c r="C148" s="314"/>
      <c r="D148" s="314"/>
      <c r="E148" s="314"/>
      <c r="F148" s="314">
        <f t="shared" si="22"/>
        <v>0</v>
      </c>
      <c r="G148" s="314">
        <f t="shared" ref="G148:G154" si="24">C148-E148</f>
        <v>0</v>
      </c>
      <c r="H148" s="314"/>
      <c r="I148" s="314"/>
      <c r="J148" s="314">
        <f t="shared" si="23"/>
        <v>0</v>
      </c>
      <c r="K148" s="316">
        <f t="shared" ref="K148:K154" si="25">C148-I148</f>
        <v>0</v>
      </c>
      <c r="L148" s="314"/>
    </row>
    <row r="149" spans="1:12" ht="12.75" x14ac:dyDescent="0.2">
      <c r="A149" s="87" t="s">
        <v>484</v>
      </c>
      <c r="B149" s="314"/>
      <c r="C149" s="314"/>
      <c r="D149" s="314"/>
      <c r="E149" s="314"/>
      <c r="F149" s="314">
        <f t="shared" si="22"/>
        <v>0</v>
      </c>
      <c r="G149" s="314">
        <f t="shared" si="24"/>
        <v>0</v>
      </c>
      <c r="H149" s="314"/>
      <c r="I149" s="314"/>
      <c r="J149" s="314">
        <f t="shared" si="23"/>
        <v>0</v>
      </c>
      <c r="K149" s="316">
        <f t="shared" si="25"/>
        <v>0</v>
      </c>
      <c r="L149" s="314"/>
    </row>
    <row r="150" spans="1:12" ht="12.75" x14ac:dyDescent="0.2">
      <c r="A150" s="87" t="s">
        <v>485</v>
      </c>
      <c r="B150" s="314"/>
      <c r="C150" s="314"/>
      <c r="D150" s="314"/>
      <c r="E150" s="314"/>
      <c r="F150" s="314">
        <f t="shared" si="22"/>
        <v>0</v>
      </c>
      <c r="G150" s="314">
        <f t="shared" si="24"/>
        <v>0</v>
      </c>
      <c r="H150" s="314"/>
      <c r="I150" s="314"/>
      <c r="J150" s="314">
        <f t="shared" si="23"/>
        <v>0</v>
      </c>
      <c r="K150" s="316">
        <f t="shared" si="25"/>
        <v>0</v>
      </c>
      <c r="L150" s="314"/>
    </row>
    <row r="151" spans="1:12" ht="12.75" x14ac:dyDescent="0.2">
      <c r="A151" s="87" t="s">
        <v>742</v>
      </c>
      <c r="B151" s="314"/>
      <c r="C151" s="314"/>
      <c r="D151" s="314"/>
      <c r="E151" s="314"/>
      <c r="F151" s="314">
        <f t="shared" si="22"/>
        <v>0</v>
      </c>
      <c r="G151" s="314">
        <f t="shared" si="24"/>
        <v>0</v>
      </c>
      <c r="H151" s="314"/>
      <c r="I151" s="314"/>
      <c r="J151" s="314">
        <f t="shared" si="23"/>
        <v>0</v>
      </c>
      <c r="K151" s="316">
        <f t="shared" si="25"/>
        <v>0</v>
      </c>
      <c r="L151" s="314"/>
    </row>
    <row r="152" spans="1:12" ht="12.75" x14ac:dyDescent="0.2">
      <c r="A152" s="87" t="s">
        <v>743</v>
      </c>
      <c r="B152" s="314"/>
      <c r="C152" s="314"/>
      <c r="D152" s="314"/>
      <c r="E152" s="314"/>
      <c r="F152" s="314">
        <f t="shared" si="22"/>
        <v>0</v>
      </c>
      <c r="G152" s="314">
        <f t="shared" si="24"/>
        <v>0</v>
      </c>
      <c r="H152" s="314"/>
      <c r="I152" s="314"/>
      <c r="J152" s="314">
        <f t="shared" si="23"/>
        <v>0</v>
      </c>
      <c r="K152" s="316">
        <f t="shared" si="25"/>
        <v>0</v>
      </c>
      <c r="L152" s="314"/>
    </row>
    <row r="153" spans="1:12" ht="12.75" x14ac:dyDescent="0.2">
      <c r="A153" s="87" t="s">
        <v>426</v>
      </c>
      <c r="B153" s="314"/>
      <c r="C153" s="314"/>
      <c r="D153" s="314"/>
      <c r="E153" s="314"/>
      <c r="F153" s="314">
        <f t="shared" si="22"/>
        <v>0</v>
      </c>
      <c r="G153" s="314">
        <f t="shared" si="24"/>
        <v>0</v>
      </c>
      <c r="H153" s="314"/>
      <c r="I153" s="314"/>
      <c r="J153" s="314">
        <f t="shared" si="23"/>
        <v>0</v>
      </c>
      <c r="K153" s="316">
        <f t="shared" si="25"/>
        <v>0</v>
      </c>
      <c r="L153" s="314"/>
    </row>
    <row r="154" spans="1:12" ht="12.75" x14ac:dyDescent="0.2">
      <c r="A154" s="87" t="s">
        <v>420</v>
      </c>
      <c r="B154" s="314"/>
      <c r="C154" s="314"/>
      <c r="D154" s="314"/>
      <c r="E154" s="314"/>
      <c r="F154" s="314">
        <f t="shared" si="22"/>
        <v>0</v>
      </c>
      <c r="G154" s="314">
        <f t="shared" si="24"/>
        <v>0</v>
      </c>
      <c r="H154" s="314"/>
      <c r="I154" s="314"/>
      <c r="J154" s="314">
        <f t="shared" si="23"/>
        <v>0</v>
      </c>
      <c r="K154" s="316">
        <f t="shared" si="25"/>
        <v>0</v>
      </c>
      <c r="L154" s="314"/>
    </row>
    <row r="155" spans="1:12" ht="12.75" x14ac:dyDescent="0.2">
      <c r="A155" s="54" t="s">
        <v>296</v>
      </c>
      <c r="B155" s="314">
        <f>SUM(B156:B159)</f>
        <v>0</v>
      </c>
      <c r="C155" s="314">
        <f>SUM(C156:C159)</f>
        <v>0</v>
      </c>
      <c r="D155" s="314">
        <f>SUM(D156:D159)</f>
        <v>0</v>
      </c>
      <c r="E155" s="314">
        <f>SUM(E156:E159)</f>
        <v>0</v>
      </c>
      <c r="F155" s="314">
        <f t="shared" si="22"/>
        <v>0</v>
      </c>
      <c r="G155" s="314">
        <f>SUM(G156:G159)</f>
        <v>0</v>
      </c>
      <c r="H155" s="314">
        <f>SUM(H156:H159)</f>
        <v>0</v>
      </c>
      <c r="I155" s="314">
        <f>SUM(I156:I159)</f>
        <v>0</v>
      </c>
      <c r="J155" s="314">
        <f t="shared" si="23"/>
        <v>0</v>
      </c>
      <c r="K155" s="316">
        <f>SUM(K156:K159)</f>
        <v>0</v>
      </c>
      <c r="L155" s="314">
        <f>SUM(L156:L159)</f>
        <v>0</v>
      </c>
    </row>
    <row r="156" spans="1:12" ht="12.75" x14ac:dyDescent="0.2">
      <c r="A156" s="87" t="s">
        <v>486</v>
      </c>
      <c r="B156" s="314"/>
      <c r="C156" s="314"/>
      <c r="D156" s="314"/>
      <c r="E156" s="314"/>
      <c r="F156" s="314">
        <f t="shared" si="22"/>
        <v>0</v>
      </c>
      <c r="G156" s="314">
        <f>C156-E156</f>
        <v>0</v>
      </c>
      <c r="H156" s="314"/>
      <c r="I156" s="314"/>
      <c r="J156" s="314">
        <f t="shared" si="23"/>
        <v>0</v>
      </c>
      <c r="K156" s="316">
        <f>C156-I156</f>
        <v>0</v>
      </c>
      <c r="L156" s="314"/>
    </row>
    <row r="157" spans="1:12" ht="12.75" x14ac:dyDescent="0.2">
      <c r="A157" s="87" t="s">
        <v>487</v>
      </c>
      <c r="B157" s="314"/>
      <c r="C157" s="314"/>
      <c r="D157" s="314"/>
      <c r="E157" s="314"/>
      <c r="F157" s="314">
        <f t="shared" si="22"/>
        <v>0</v>
      </c>
      <c r="G157" s="314">
        <f>C157-E157</f>
        <v>0</v>
      </c>
      <c r="H157" s="314"/>
      <c r="I157" s="314"/>
      <c r="J157" s="314">
        <f t="shared" si="23"/>
        <v>0</v>
      </c>
      <c r="K157" s="316">
        <f>C157-I157</f>
        <v>0</v>
      </c>
      <c r="L157" s="314"/>
    </row>
    <row r="158" spans="1:12" ht="12.75" x14ac:dyDescent="0.2">
      <c r="A158" s="87" t="s">
        <v>426</v>
      </c>
      <c r="B158" s="314"/>
      <c r="C158" s="314"/>
      <c r="D158" s="314"/>
      <c r="E158" s="314"/>
      <c r="F158" s="314">
        <f t="shared" si="22"/>
        <v>0</v>
      </c>
      <c r="G158" s="314">
        <f>C158-E158</f>
        <v>0</v>
      </c>
      <c r="H158" s="314"/>
      <c r="I158" s="314"/>
      <c r="J158" s="314">
        <f t="shared" si="23"/>
        <v>0</v>
      </c>
      <c r="K158" s="316">
        <f>C158-I158</f>
        <v>0</v>
      </c>
      <c r="L158" s="314"/>
    </row>
    <row r="159" spans="1:12" ht="12.75" x14ac:dyDescent="0.2">
      <c r="A159" s="87" t="s">
        <v>420</v>
      </c>
      <c r="B159" s="314"/>
      <c r="C159" s="314"/>
      <c r="D159" s="314"/>
      <c r="E159" s="314"/>
      <c r="F159" s="314">
        <f t="shared" si="22"/>
        <v>0</v>
      </c>
      <c r="G159" s="314">
        <f>C159-E159</f>
        <v>0</v>
      </c>
      <c r="H159" s="314"/>
      <c r="I159" s="314"/>
      <c r="J159" s="314">
        <f t="shared" si="23"/>
        <v>0</v>
      </c>
      <c r="K159" s="316">
        <f>C159-I159</f>
        <v>0</v>
      </c>
      <c r="L159" s="314"/>
    </row>
    <row r="160" spans="1:12" ht="12.75" x14ac:dyDescent="0.2">
      <c r="A160" s="54" t="s">
        <v>297</v>
      </c>
      <c r="B160" s="314">
        <f>SUM(B161:B167)</f>
        <v>2719000</v>
      </c>
      <c r="C160" s="314">
        <f>SUM(C161:C167)</f>
        <v>3055000</v>
      </c>
      <c r="D160" s="314">
        <f>SUM(D161:D167)</f>
        <v>494527.55</v>
      </c>
      <c r="E160" s="314">
        <f>SUM(E161:E167)</f>
        <v>2720924.46</v>
      </c>
      <c r="F160" s="314">
        <f t="shared" si="22"/>
        <v>0.22002680280878364</v>
      </c>
      <c r="G160" s="314">
        <f>SUM(G161:G167)</f>
        <v>334075.54000000004</v>
      </c>
      <c r="H160" s="314">
        <f>SUM(H161:H167)</f>
        <v>528276.14</v>
      </c>
      <c r="I160" s="314">
        <f>SUM(I161:I167)</f>
        <v>2679806.54</v>
      </c>
      <c r="J160" s="314">
        <f t="shared" si="23"/>
        <v>0.22964260710252385</v>
      </c>
      <c r="K160" s="316">
        <f>SUM(K161:K167)</f>
        <v>375193.45999999996</v>
      </c>
      <c r="L160" s="314">
        <f>SUM(L161:L167)</f>
        <v>41117.919999999998</v>
      </c>
    </row>
    <row r="161" spans="1:12" ht="12.75" x14ac:dyDescent="0.2">
      <c r="A161" s="87" t="s">
        <v>488</v>
      </c>
      <c r="B161" s="314">
        <v>2719000</v>
      </c>
      <c r="C161" s="314">
        <v>3055000</v>
      </c>
      <c r="D161" s="314">
        <v>494527.55</v>
      </c>
      <c r="E161" s="314">
        <v>2720924.46</v>
      </c>
      <c r="F161" s="314">
        <f t="shared" si="22"/>
        <v>0.22002680280878364</v>
      </c>
      <c r="G161" s="314">
        <f t="shared" ref="G161:G167" si="26">C161-E161</f>
        <v>334075.54000000004</v>
      </c>
      <c r="H161" s="314">
        <v>528276.14</v>
      </c>
      <c r="I161" s="314">
        <v>2679806.54</v>
      </c>
      <c r="J161" s="314">
        <f t="shared" si="23"/>
        <v>0.22964260710252385</v>
      </c>
      <c r="K161" s="316">
        <f t="shared" ref="K161:K167" si="27">C161-I161</f>
        <v>375193.45999999996</v>
      </c>
      <c r="L161" s="314">
        <v>41117.919999999998</v>
      </c>
    </row>
    <row r="162" spans="1:12" ht="12.75" x14ac:dyDescent="0.2">
      <c r="A162" s="87" t="s">
        <v>489</v>
      </c>
      <c r="B162" s="314"/>
      <c r="C162" s="314"/>
      <c r="D162" s="314"/>
      <c r="E162" s="314"/>
      <c r="F162" s="314">
        <f t="shared" si="22"/>
        <v>0</v>
      </c>
      <c r="G162" s="314">
        <f t="shared" si="26"/>
        <v>0</v>
      </c>
      <c r="H162" s="314"/>
      <c r="I162" s="314"/>
      <c r="J162" s="314">
        <f t="shared" si="23"/>
        <v>0</v>
      </c>
      <c r="K162" s="316">
        <f t="shared" si="27"/>
        <v>0</v>
      </c>
      <c r="L162" s="314"/>
    </row>
    <row r="163" spans="1:12" ht="12.75" x14ac:dyDescent="0.2">
      <c r="A163" s="87" t="s">
        <v>490</v>
      </c>
      <c r="B163" s="314"/>
      <c r="C163" s="314"/>
      <c r="D163" s="314"/>
      <c r="E163" s="314"/>
      <c r="F163" s="314">
        <f t="shared" si="22"/>
        <v>0</v>
      </c>
      <c r="G163" s="314">
        <f t="shared" si="26"/>
        <v>0</v>
      </c>
      <c r="H163" s="314"/>
      <c r="I163" s="314"/>
      <c r="J163" s="314">
        <f t="shared" si="23"/>
        <v>0</v>
      </c>
      <c r="K163" s="316">
        <f t="shared" si="27"/>
        <v>0</v>
      </c>
      <c r="L163" s="314"/>
    </row>
    <row r="164" spans="1:12" ht="12.75" x14ac:dyDescent="0.2">
      <c r="A164" s="87" t="s">
        <v>491</v>
      </c>
      <c r="B164" s="314"/>
      <c r="C164" s="314"/>
      <c r="D164" s="314"/>
      <c r="E164" s="314"/>
      <c r="F164" s="314">
        <f t="shared" si="22"/>
        <v>0</v>
      </c>
      <c r="G164" s="314">
        <f t="shared" si="26"/>
        <v>0</v>
      </c>
      <c r="H164" s="314"/>
      <c r="I164" s="314"/>
      <c r="J164" s="314">
        <f t="shared" si="23"/>
        <v>0</v>
      </c>
      <c r="K164" s="316">
        <f t="shared" si="27"/>
        <v>0</v>
      </c>
      <c r="L164" s="314"/>
    </row>
    <row r="165" spans="1:12" ht="12.75" x14ac:dyDescent="0.2">
      <c r="A165" s="87" t="s">
        <v>492</v>
      </c>
      <c r="B165" s="314"/>
      <c r="C165" s="314"/>
      <c r="D165" s="314"/>
      <c r="E165" s="314"/>
      <c r="F165" s="314">
        <f t="shared" si="22"/>
        <v>0</v>
      </c>
      <c r="G165" s="314">
        <f t="shared" si="26"/>
        <v>0</v>
      </c>
      <c r="H165" s="314"/>
      <c r="I165" s="314"/>
      <c r="J165" s="314">
        <f t="shared" si="23"/>
        <v>0</v>
      </c>
      <c r="K165" s="316">
        <f t="shared" si="27"/>
        <v>0</v>
      </c>
      <c r="L165" s="314"/>
    </row>
    <row r="166" spans="1:12" ht="12.75" x14ac:dyDescent="0.2">
      <c r="A166" s="87" t="s">
        <v>426</v>
      </c>
      <c r="B166" s="314"/>
      <c r="C166" s="314"/>
      <c r="D166" s="314"/>
      <c r="E166" s="314"/>
      <c r="F166" s="314">
        <f t="shared" si="22"/>
        <v>0</v>
      </c>
      <c r="G166" s="314">
        <f t="shared" si="26"/>
        <v>0</v>
      </c>
      <c r="H166" s="314"/>
      <c r="I166" s="314"/>
      <c r="J166" s="314">
        <f t="shared" si="23"/>
        <v>0</v>
      </c>
      <c r="K166" s="316">
        <f t="shared" si="27"/>
        <v>0</v>
      </c>
      <c r="L166" s="314"/>
    </row>
    <row r="167" spans="1:12" ht="12.75" x14ac:dyDescent="0.2">
      <c r="A167" s="87" t="s">
        <v>420</v>
      </c>
      <c r="B167" s="314"/>
      <c r="C167" s="314"/>
      <c r="D167" s="314"/>
      <c r="E167" s="314"/>
      <c r="F167" s="314">
        <f t="shared" si="22"/>
        <v>0</v>
      </c>
      <c r="G167" s="314">
        <f t="shared" si="26"/>
        <v>0</v>
      </c>
      <c r="H167" s="314"/>
      <c r="I167" s="314"/>
      <c r="J167" s="314">
        <f t="shared" si="23"/>
        <v>0</v>
      </c>
      <c r="K167" s="316">
        <f t="shared" si="27"/>
        <v>0</v>
      </c>
      <c r="L167" s="314"/>
    </row>
    <row r="168" spans="1:12" ht="12.75" x14ac:dyDescent="0.2">
      <c r="A168" s="54" t="s">
        <v>298</v>
      </c>
      <c r="B168" s="314">
        <f>SUM(B169:B175)</f>
        <v>286000</v>
      </c>
      <c r="C168" s="314">
        <f>SUM(C169:C175)</f>
        <v>988046.25</v>
      </c>
      <c r="D168" s="314">
        <f>SUM(D169:D175)</f>
        <v>0</v>
      </c>
      <c r="E168" s="314">
        <f>SUM(E169:E175)</f>
        <v>273452.78000000003</v>
      </c>
      <c r="F168" s="314">
        <f t="shared" si="22"/>
        <v>2.2112683312999322E-2</v>
      </c>
      <c r="G168" s="314">
        <f>SUM(G169:G175)</f>
        <v>714593.47</v>
      </c>
      <c r="H168" s="314">
        <f>SUM(H169:H175)</f>
        <v>130950</v>
      </c>
      <c r="I168" s="314">
        <f>SUM(I169:I175)</f>
        <v>273452.78000000003</v>
      </c>
      <c r="J168" s="314">
        <f t="shared" si="23"/>
        <v>2.3433187575784071E-2</v>
      </c>
      <c r="K168" s="316">
        <f>SUM(K169:K175)</f>
        <v>714593.47</v>
      </c>
      <c r="L168" s="314">
        <f>SUM(L169:L175)</f>
        <v>0</v>
      </c>
    </row>
    <row r="169" spans="1:12" ht="12.75" x14ac:dyDescent="0.2">
      <c r="A169" s="87" t="s">
        <v>493</v>
      </c>
      <c r="B169" s="314"/>
      <c r="C169" s="314"/>
      <c r="D169" s="314"/>
      <c r="E169" s="314"/>
      <c r="F169" s="314">
        <f t="shared" si="22"/>
        <v>0</v>
      </c>
      <c r="G169" s="314">
        <f t="shared" ref="G169:G175" si="28">C169-E169</f>
        <v>0</v>
      </c>
      <c r="H169" s="314"/>
      <c r="I169" s="314"/>
      <c r="J169" s="314">
        <f t="shared" si="23"/>
        <v>0</v>
      </c>
      <c r="K169" s="316">
        <f t="shared" ref="K169:K175" si="29">C169-I169</f>
        <v>0</v>
      </c>
      <c r="L169" s="314"/>
    </row>
    <row r="170" spans="1:12" ht="12.75" x14ac:dyDescent="0.2">
      <c r="A170" s="87" t="s">
        <v>494</v>
      </c>
      <c r="B170" s="314"/>
      <c r="C170" s="314"/>
      <c r="D170" s="314"/>
      <c r="E170" s="314"/>
      <c r="F170" s="314">
        <f t="shared" si="22"/>
        <v>0</v>
      </c>
      <c r="G170" s="314">
        <f t="shared" si="28"/>
        <v>0</v>
      </c>
      <c r="H170" s="314"/>
      <c r="I170" s="314"/>
      <c r="J170" s="314">
        <f t="shared" si="23"/>
        <v>0</v>
      </c>
      <c r="K170" s="316">
        <f t="shared" si="29"/>
        <v>0</v>
      </c>
      <c r="L170" s="314"/>
    </row>
    <row r="171" spans="1:12" ht="12.75" x14ac:dyDescent="0.2">
      <c r="A171" s="87" t="s">
        <v>495</v>
      </c>
      <c r="B171" s="314"/>
      <c r="C171" s="314"/>
      <c r="D171" s="314"/>
      <c r="E171" s="314"/>
      <c r="F171" s="314">
        <f t="shared" si="22"/>
        <v>0</v>
      </c>
      <c r="G171" s="314">
        <f t="shared" si="28"/>
        <v>0</v>
      </c>
      <c r="H171" s="314"/>
      <c r="I171" s="314"/>
      <c r="J171" s="314">
        <f t="shared" si="23"/>
        <v>0</v>
      </c>
      <c r="K171" s="316">
        <f t="shared" si="29"/>
        <v>0</v>
      </c>
      <c r="L171" s="314"/>
    </row>
    <row r="172" spans="1:12" ht="12.75" x14ac:dyDescent="0.2">
      <c r="A172" s="87" t="s">
        <v>496</v>
      </c>
      <c r="B172" s="314"/>
      <c r="C172" s="314"/>
      <c r="D172" s="314"/>
      <c r="E172" s="314"/>
      <c r="F172" s="314">
        <f t="shared" si="22"/>
        <v>0</v>
      </c>
      <c r="G172" s="314">
        <f t="shared" si="28"/>
        <v>0</v>
      </c>
      <c r="H172" s="314"/>
      <c r="I172" s="314"/>
      <c r="J172" s="314">
        <f t="shared" si="23"/>
        <v>0</v>
      </c>
      <c r="K172" s="316">
        <f t="shared" si="29"/>
        <v>0</v>
      </c>
      <c r="L172" s="314"/>
    </row>
    <row r="173" spans="1:12" ht="12.75" x14ac:dyDescent="0.2">
      <c r="A173" s="87" t="s">
        <v>497</v>
      </c>
      <c r="B173" s="314">
        <v>286000</v>
      </c>
      <c r="C173" s="314">
        <v>988046.25</v>
      </c>
      <c r="D173" s="314">
        <v>0</v>
      </c>
      <c r="E173" s="314">
        <v>273452.78000000003</v>
      </c>
      <c r="F173" s="314">
        <f t="shared" si="22"/>
        <v>2.2112683312999322E-2</v>
      </c>
      <c r="G173" s="314">
        <f t="shared" si="28"/>
        <v>714593.47</v>
      </c>
      <c r="H173" s="314">
        <v>130950</v>
      </c>
      <c r="I173" s="314">
        <v>273452.78000000003</v>
      </c>
      <c r="J173" s="314">
        <f t="shared" si="23"/>
        <v>2.3433187575784071E-2</v>
      </c>
      <c r="K173" s="316">
        <f t="shared" si="29"/>
        <v>714593.47</v>
      </c>
      <c r="L173" s="314">
        <v>0</v>
      </c>
    </row>
    <row r="174" spans="1:12" ht="12.75" x14ac:dyDescent="0.2">
      <c r="A174" s="87" t="s">
        <v>426</v>
      </c>
      <c r="B174" s="314"/>
      <c r="C174" s="314"/>
      <c r="D174" s="314"/>
      <c r="E174" s="314"/>
      <c r="F174" s="314">
        <f t="shared" si="22"/>
        <v>0</v>
      </c>
      <c r="G174" s="314">
        <f t="shared" si="28"/>
        <v>0</v>
      </c>
      <c r="H174" s="314"/>
      <c r="I174" s="314"/>
      <c r="J174" s="314">
        <f t="shared" si="23"/>
        <v>0</v>
      </c>
      <c r="K174" s="316">
        <f t="shared" si="29"/>
        <v>0</v>
      </c>
      <c r="L174" s="314"/>
    </row>
    <row r="175" spans="1:12" ht="12.75" x14ac:dyDescent="0.2">
      <c r="A175" s="87" t="s">
        <v>420</v>
      </c>
      <c r="B175" s="314"/>
      <c r="C175" s="314"/>
      <c r="D175" s="314"/>
      <c r="E175" s="314"/>
      <c r="F175" s="314">
        <f t="shared" si="22"/>
        <v>0</v>
      </c>
      <c r="G175" s="314">
        <f t="shared" si="28"/>
        <v>0</v>
      </c>
      <c r="H175" s="314"/>
      <c r="I175" s="314"/>
      <c r="J175" s="314">
        <f t="shared" si="23"/>
        <v>0</v>
      </c>
      <c r="K175" s="316">
        <f t="shared" si="29"/>
        <v>0</v>
      </c>
      <c r="L175" s="314"/>
    </row>
    <row r="176" spans="1:12" ht="12.75" x14ac:dyDescent="0.2">
      <c r="A176" s="54" t="s">
        <v>299</v>
      </c>
      <c r="B176" s="314">
        <f>SUM(B177:B180)</f>
        <v>0</v>
      </c>
      <c r="C176" s="314">
        <f>SUM(C177:C180)</f>
        <v>0</v>
      </c>
      <c r="D176" s="314">
        <f>SUM(D177:D180)</f>
        <v>0</v>
      </c>
      <c r="E176" s="314">
        <f>SUM(E177:E180)</f>
        <v>0</v>
      </c>
      <c r="F176" s="314">
        <f t="shared" si="22"/>
        <v>0</v>
      </c>
      <c r="G176" s="314">
        <f>SUM(G177:G180)</f>
        <v>0</v>
      </c>
      <c r="H176" s="314">
        <f>SUM(H177:H180)</f>
        <v>0</v>
      </c>
      <c r="I176" s="314">
        <f>SUM(I177:I180)</f>
        <v>0</v>
      </c>
      <c r="J176" s="314">
        <f t="shared" si="23"/>
        <v>0</v>
      </c>
      <c r="K176" s="316">
        <f>SUM(K177:K180)</f>
        <v>0</v>
      </c>
      <c r="L176" s="314">
        <f>SUM(L177:L180)</f>
        <v>0</v>
      </c>
    </row>
    <row r="177" spans="1:12" ht="12.75" x14ac:dyDescent="0.2">
      <c r="A177" s="87" t="s">
        <v>498</v>
      </c>
      <c r="B177" s="314"/>
      <c r="C177" s="314"/>
      <c r="D177" s="314"/>
      <c r="E177" s="314"/>
      <c r="F177" s="314">
        <f t="shared" si="22"/>
        <v>0</v>
      </c>
      <c r="G177" s="314">
        <f>C177-E177</f>
        <v>0</v>
      </c>
      <c r="H177" s="314"/>
      <c r="I177" s="314"/>
      <c r="J177" s="314">
        <f t="shared" si="23"/>
        <v>0</v>
      </c>
      <c r="K177" s="316">
        <f>C177-I177</f>
        <v>0</v>
      </c>
      <c r="L177" s="314"/>
    </row>
    <row r="178" spans="1:12" ht="12.75" x14ac:dyDescent="0.2">
      <c r="A178" s="87" t="s">
        <v>499</v>
      </c>
      <c r="B178" s="314"/>
      <c r="C178" s="314"/>
      <c r="D178" s="314"/>
      <c r="E178" s="314"/>
      <c r="F178" s="314">
        <f t="shared" si="22"/>
        <v>0</v>
      </c>
      <c r="G178" s="314">
        <f>C178-E178</f>
        <v>0</v>
      </c>
      <c r="H178" s="314"/>
      <c r="I178" s="314"/>
      <c r="J178" s="314">
        <f t="shared" si="23"/>
        <v>0</v>
      </c>
      <c r="K178" s="316">
        <f>C178-I178</f>
        <v>0</v>
      </c>
      <c r="L178" s="314"/>
    </row>
    <row r="179" spans="1:12" ht="12.75" x14ac:dyDescent="0.2">
      <c r="A179" s="87" t="s">
        <v>426</v>
      </c>
      <c r="B179" s="314"/>
      <c r="C179" s="314"/>
      <c r="D179" s="314"/>
      <c r="E179" s="314"/>
      <c r="F179" s="314">
        <f t="shared" ref="F179:F210" si="30">IF($E$213&gt;0,E179/$E$213,0)*100</f>
        <v>0</v>
      </c>
      <c r="G179" s="314">
        <f>C179-E179</f>
        <v>0</v>
      </c>
      <c r="H179" s="314"/>
      <c r="I179" s="314"/>
      <c r="J179" s="314">
        <f t="shared" ref="J179:J210" si="31">IF($I$213&gt;0,I179/$I$213,0)*100</f>
        <v>0</v>
      </c>
      <c r="K179" s="316">
        <f>C179-I179</f>
        <v>0</v>
      </c>
      <c r="L179" s="314"/>
    </row>
    <row r="180" spans="1:12" ht="12.75" x14ac:dyDescent="0.2">
      <c r="A180" s="87" t="s">
        <v>420</v>
      </c>
      <c r="B180" s="314"/>
      <c r="C180" s="314"/>
      <c r="D180" s="314"/>
      <c r="E180" s="314"/>
      <c r="F180" s="314">
        <f t="shared" si="30"/>
        <v>0</v>
      </c>
      <c r="G180" s="314">
        <f>C180-E180</f>
        <v>0</v>
      </c>
      <c r="H180" s="314"/>
      <c r="I180" s="314"/>
      <c r="J180" s="314">
        <f t="shared" si="31"/>
        <v>0</v>
      </c>
      <c r="K180" s="316">
        <f>C180-I180</f>
        <v>0</v>
      </c>
      <c r="L180" s="314"/>
    </row>
    <row r="181" spans="1:12" ht="12.75" x14ac:dyDescent="0.2">
      <c r="A181" s="54" t="s">
        <v>300</v>
      </c>
      <c r="B181" s="314">
        <f>SUM(B182:B187)</f>
        <v>0</v>
      </c>
      <c r="C181" s="314">
        <f>SUM(C182:C187)</f>
        <v>0</v>
      </c>
      <c r="D181" s="314">
        <f>SUM(D182:D187)</f>
        <v>0</v>
      </c>
      <c r="E181" s="314">
        <f>SUM(E182:E187)</f>
        <v>0</v>
      </c>
      <c r="F181" s="314">
        <f t="shared" si="30"/>
        <v>0</v>
      </c>
      <c r="G181" s="314">
        <f>SUM(G182:G187)</f>
        <v>0</v>
      </c>
      <c r="H181" s="314">
        <f>SUM(H182:H187)</f>
        <v>0</v>
      </c>
      <c r="I181" s="314">
        <f>SUM(I182:I187)</f>
        <v>0</v>
      </c>
      <c r="J181" s="314">
        <f t="shared" si="31"/>
        <v>0</v>
      </c>
      <c r="K181" s="316">
        <f>SUM(K182:K187)</f>
        <v>0</v>
      </c>
      <c r="L181" s="314">
        <f>SUM(L182:L187)</f>
        <v>0</v>
      </c>
    </row>
    <row r="182" spans="1:12" ht="12.75" x14ac:dyDescent="0.2">
      <c r="A182" s="87" t="s">
        <v>500</v>
      </c>
      <c r="B182" s="314"/>
      <c r="C182" s="314"/>
      <c r="D182" s="314"/>
      <c r="E182" s="314"/>
      <c r="F182" s="314">
        <f t="shared" si="30"/>
        <v>0</v>
      </c>
      <c r="G182" s="314">
        <f t="shared" ref="G182:G187" si="32">C182-E182</f>
        <v>0</v>
      </c>
      <c r="H182" s="314"/>
      <c r="I182" s="314"/>
      <c r="J182" s="314">
        <f t="shared" si="31"/>
        <v>0</v>
      </c>
      <c r="K182" s="316">
        <f t="shared" ref="K182:K187" si="33">C182-I182</f>
        <v>0</v>
      </c>
      <c r="L182" s="314"/>
    </row>
    <row r="183" spans="1:12" ht="12.75" x14ac:dyDescent="0.2">
      <c r="A183" s="87" t="s">
        <v>501</v>
      </c>
      <c r="B183" s="314"/>
      <c r="C183" s="314"/>
      <c r="D183" s="314"/>
      <c r="E183" s="314"/>
      <c r="F183" s="314">
        <f t="shared" si="30"/>
        <v>0</v>
      </c>
      <c r="G183" s="314">
        <f t="shared" si="32"/>
        <v>0</v>
      </c>
      <c r="H183" s="314"/>
      <c r="I183" s="314"/>
      <c r="J183" s="314">
        <f t="shared" si="31"/>
        <v>0</v>
      </c>
      <c r="K183" s="316">
        <f t="shared" si="33"/>
        <v>0</v>
      </c>
      <c r="L183" s="314"/>
    </row>
    <row r="184" spans="1:12" ht="12.75" x14ac:dyDescent="0.2">
      <c r="A184" s="87" t="s">
        <v>502</v>
      </c>
      <c r="B184" s="314"/>
      <c r="C184" s="314"/>
      <c r="D184" s="314"/>
      <c r="E184" s="314"/>
      <c r="F184" s="314">
        <f t="shared" si="30"/>
        <v>0</v>
      </c>
      <c r="G184" s="314">
        <f t="shared" si="32"/>
        <v>0</v>
      </c>
      <c r="H184" s="314"/>
      <c r="I184" s="314"/>
      <c r="J184" s="314">
        <f t="shared" si="31"/>
        <v>0</v>
      </c>
      <c r="K184" s="316">
        <f t="shared" si="33"/>
        <v>0</v>
      </c>
      <c r="L184" s="314"/>
    </row>
    <row r="185" spans="1:12" ht="12.75" x14ac:dyDescent="0.2">
      <c r="A185" s="87" t="s">
        <v>503</v>
      </c>
      <c r="B185" s="314"/>
      <c r="C185" s="314"/>
      <c r="D185" s="314"/>
      <c r="E185" s="314"/>
      <c r="F185" s="314">
        <f t="shared" si="30"/>
        <v>0</v>
      </c>
      <c r="G185" s="314">
        <f t="shared" si="32"/>
        <v>0</v>
      </c>
      <c r="H185" s="314"/>
      <c r="I185" s="314"/>
      <c r="J185" s="314">
        <f t="shared" si="31"/>
        <v>0</v>
      </c>
      <c r="K185" s="316">
        <f t="shared" si="33"/>
        <v>0</v>
      </c>
      <c r="L185" s="314"/>
    </row>
    <row r="186" spans="1:12" ht="12.75" x14ac:dyDescent="0.2">
      <c r="A186" s="87" t="s">
        <v>426</v>
      </c>
      <c r="B186" s="314"/>
      <c r="C186" s="314"/>
      <c r="D186" s="314"/>
      <c r="E186" s="314"/>
      <c r="F186" s="314">
        <f t="shared" si="30"/>
        <v>0</v>
      </c>
      <c r="G186" s="314">
        <f t="shared" si="32"/>
        <v>0</v>
      </c>
      <c r="H186" s="314"/>
      <c r="I186" s="314"/>
      <c r="J186" s="314">
        <f t="shared" si="31"/>
        <v>0</v>
      </c>
      <c r="K186" s="316">
        <f t="shared" si="33"/>
        <v>0</v>
      </c>
      <c r="L186" s="314"/>
    </row>
    <row r="187" spans="1:12" ht="12.75" x14ac:dyDescent="0.2">
      <c r="A187" s="87" t="s">
        <v>420</v>
      </c>
      <c r="B187" s="314"/>
      <c r="C187" s="314"/>
      <c r="D187" s="314"/>
      <c r="E187" s="314"/>
      <c r="F187" s="314">
        <f t="shared" si="30"/>
        <v>0</v>
      </c>
      <c r="G187" s="314">
        <f t="shared" si="32"/>
        <v>0</v>
      </c>
      <c r="H187" s="314"/>
      <c r="I187" s="314"/>
      <c r="J187" s="314">
        <f t="shared" si="31"/>
        <v>0</v>
      </c>
      <c r="K187" s="316">
        <f t="shared" si="33"/>
        <v>0</v>
      </c>
      <c r="L187" s="314"/>
    </row>
    <row r="188" spans="1:12" ht="12.75" x14ac:dyDescent="0.2">
      <c r="A188" s="54" t="s">
        <v>301</v>
      </c>
      <c r="B188" s="314">
        <f>SUM(B189:B195)</f>
        <v>0</v>
      </c>
      <c r="C188" s="314">
        <f>SUM(C189:C195)</f>
        <v>0</v>
      </c>
      <c r="D188" s="314">
        <f>SUM(D189:D195)</f>
        <v>0</v>
      </c>
      <c r="E188" s="314">
        <f>SUM(E189:E195)</f>
        <v>0</v>
      </c>
      <c r="F188" s="314">
        <f t="shared" si="30"/>
        <v>0</v>
      </c>
      <c r="G188" s="314">
        <f>SUM(G189:G195)</f>
        <v>0</v>
      </c>
      <c r="H188" s="314">
        <f>SUM(H189:H195)</f>
        <v>0</v>
      </c>
      <c r="I188" s="314">
        <f>SUM(I189:I195)</f>
        <v>0</v>
      </c>
      <c r="J188" s="314">
        <f t="shared" si="31"/>
        <v>0</v>
      </c>
      <c r="K188" s="316">
        <f>SUM(K189:K195)</f>
        <v>0</v>
      </c>
      <c r="L188" s="314">
        <f>SUM(L189:L195)</f>
        <v>0</v>
      </c>
    </row>
    <row r="189" spans="1:12" ht="12.75" x14ac:dyDescent="0.2">
      <c r="A189" s="87" t="s">
        <v>504</v>
      </c>
      <c r="B189" s="314"/>
      <c r="C189" s="314"/>
      <c r="D189" s="314"/>
      <c r="E189" s="314"/>
      <c r="F189" s="314">
        <f t="shared" si="30"/>
        <v>0</v>
      </c>
      <c r="G189" s="314">
        <f t="shared" ref="G189:G195" si="34">C189-E189</f>
        <v>0</v>
      </c>
      <c r="H189" s="314"/>
      <c r="I189" s="314"/>
      <c r="J189" s="314">
        <f t="shared" si="31"/>
        <v>0</v>
      </c>
      <c r="K189" s="316">
        <f t="shared" ref="K189:K195" si="35">C189-I189</f>
        <v>0</v>
      </c>
      <c r="L189" s="314"/>
    </row>
    <row r="190" spans="1:12" ht="12.75" x14ac:dyDescent="0.2">
      <c r="A190" s="87" t="s">
        <v>505</v>
      </c>
      <c r="B190" s="314"/>
      <c r="C190" s="314"/>
      <c r="D190" s="314"/>
      <c r="E190" s="314"/>
      <c r="F190" s="314">
        <f t="shared" si="30"/>
        <v>0</v>
      </c>
      <c r="G190" s="314">
        <f t="shared" si="34"/>
        <v>0</v>
      </c>
      <c r="H190" s="314"/>
      <c r="I190" s="314"/>
      <c r="J190" s="314">
        <f t="shared" si="31"/>
        <v>0</v>
      </c>
      <c r="K190" s="316">
        <f t="shared" si="35"/>
        <v>0</v>
      </c>
      <c r="L190" s="314"/>
    </row>
    <row r="191" spans="1:12" ht="12.75" x14ac:dyDescent="0.2">
      <c r="A191" s="87" t="s">
        <v>506</v>
      </c>
      <c r="B191" s="314"/>
      <c r="C191" s="314"/>
      <c r="D191" s="314"/>
      <c r="E191" s="314"/>
      <c r="F191" s="314">
        <f t="shared" si="30"/>
        <v>0</v>
      </c>
      <c r="G191" s="314">
        <f t="shared" si="34"/>
        <v>0</v>
      </c>
      <c r="H191" s="314"/>
      <c r="I191" s="314"/>
      <c r="J191" s="314">
        <f t="shared" si="31"/>
        <v>0</v>
      </c>
      <c r="K191" s="316">
        <f t="shared" si="35"/>
        <v>0</v>
      </c>
      <c r="L191" s="314"/>
    </row>
    <row r="192" spans="1:12" ht="12.75" x14ac:dyDescent="0.2">
      <c r="A192" s="87" t="s">
        <v>507</v>
      </c>
      <c r="B192" s="314"/>
      <c r="C192" s="314"/>
      <c r="D192" s="314"/>
      <c r="E192" s="314"/>
      <c r="F192" s="314">
        <f t="shared" si="30"/>
        <v>0</v>
      </c>
      <c r="G192" s="314">
        <f t="shared" si="34"/>
        <v>0</v>
      </c>
      <c r="H192" s="314"/>
      <c r="I192" s="314"/>
      <c r="J192" s="314">
        <f t="shared" si="31"/>
        <v>0</v>
      </c>
      <c r="K192" s="316">
        <f t="shared" si="35"/>
        <v>0</v>
      </c>
      <c r="L192" s="314"/>
    </row>
    <row r="193" spans="1:12" ht="12.75" x14ac:dyDescent="0.2">
      <c r="A193" s="87" t="s">
        <v>508</v>
      </c>
      <c r="B193" s="314"/>
      <c r="C193" s="314"/>
      <c r="D193" s="314"/>
      <c r="E193" s="314"/>
      <c r="F193" s="314">
        <f t="shared" si="30"/>
        <v>0</v>
      </c>
      <c r="G193" s="314">
        <f t="shared" si="34"/>
        <v>0</v>
      </c>
      <c r="H193" s="314"/>
      <c r="I193" s="314"/>
      <c r="J193" s="314">
        <f t="shared" si="31"/>
        <v>0</v>
      </c>
      <c r="K193" s="316">
        <f t="shared" si="35"/>
        <v>0</v>
      </c>
      <c r="L193" s="314"/>
    </row>
    <row r="194" spans="1:12" ht="12.75" x14ac:dyDescent="0.2">
      <c r="A194" s="87" t="s">
        <v>426</v>
      </c>
      <c r="B194" s="314"/>
      <c r="C194" s="314"/>
      <c r="D194" s="314"/>
      <c r="E194" s="314"/>
      <c r="F194" s="314">
        <f t="shared" si="30"/>
        <v>0</v>
      </c>
      <c r="G194" s="314">
        <f t="shared" si="34"/>
        <v>0</v>
      </c>
      <c r="H194" s="314"/>
      <c r="I194" s="314"/>
      <c r="J194" s="314">
        <f t="shared" si="31"/>
        <v>0</v>
      </c>
      <c r="K194" s="316">
        <f t="shared" si="35"/>
        <v>0</v>
      </c>
      <c r="L194" s="314"/>
    </row>
    <row r="195" spans="1:12" ht="12.75" x14ac:dyDescent="0.2">
      <c r="A195" s="87" t="s">
        <v>420</v>
      </c>
      <c r="B195" s="314"/>
      <c r="C195" s="314"/>
      <c r="D195" s="314"/>
      <c r="E195" s="314"/>
      <c r="F195" s="314">
        <f t="shared" si="30"/>
        <v>0</v>
      </c>
      <c r="G195" s="314">
        <f t="shared" si="34"/>
        <v>0</v>
      </c>
      <c r="H195" s="314"/>
      <c r="I195" s="314"/>
      <c r="J195" s="314">
        <f t="shared" si="31"/>
        <v>0</v>
      </c>
      <c r="K195" s="316">
        <f t="shared" si="35"/>
        <v>0</v>
      </c>
      <c r="L195" s="314"/>
    </row>
    <row r="196" spans="1:12" ht="12.75" x14ac:dyDescent="0.2">
      <c r="A196" s="54" t="s">
        <v>302</v>
      </c>
      <c r="B196" s="314">
        <f>SUM(B197:B201)</f>
        <v>15687000</v>
      </c>
      <c r="C196" s="314">
        <f>SUM(C197:C201)</f>
        <v>42291315.979999997</v>
      </c>
      <c r="D196" s="314">
        <f>SUM(D197:D201)</f>
        <v>2346748.75</v>
      </c>
      <c r="E196" s="314">
        <f>SUM(E197:E201)</f>
        <v>24347181.150000002</v>
      </c>
      <c r="F196" s="314">
        <f t="shared" si="30"/>
        <v>1.968828059945767</v>
      </c>
      <c r="G196" s="314">
        <f>SUM(G197:G201)</f>
        <v>17944134.829999994</v>
      </c>
      <c r="H196" s="314">
        <f>SUM(H197:H201)</f>
        <v>4495288.7</v>
      </c>
      <c r="I196" s="314">
        <f>SUM(I197:I201)</f>
        <v>20022453.469999999</v>
      </c>
      <c r="J196" s="314">
        <f t="shared" si="31"/>
        <v>1.7157986394942433</v>
      </c>
      <c r="K196" s="316">
        <f>SUM(K197:K201)</f>
        <v>22268862.509999998</v>
      </c>
      <c r="L196" s="314">
        <f>SUM(L197:L201)</f>
        <v>4324727.68</v>
      </c>
    </row>
    <row r="197" spans="1:12" ht="12.75" x14ac:dyDescent="0.2">
      <c r="A197" s="87" t="s">
        <v>509</v>
      </c>
      <c r="B197" s="314">
        <v>2237000</v>
      </c>
      <c r="C197" s="314">
        <v>2237000</v>
      </c>
      <c r="D197" s="314">
        <v>102938.64</v>
      </c>
      <c r="E197" s="314">
        <v>2026176.05</v>
      </c>
      <c r="F197" s="314">
        <f t="shared" si="30"/>
        <v>0.16384616506745289</v>
      </c>
      <c r="G197" s="314">
        <f>C197-E197</f>
        <v>210823.94999999995</v>
      </c>
      <c r="H197" s="314">
        <v>169679.3</v>
      </c>
      <c r="I197" s="314">
        <v>1939714.25</v>
      </c>
      <c r="J197" s="314">
        <f t="shared" si="31"/>
        <v>0.16622134126290949</v>
      </c>
      <c r="K197" s="316">
        <f>C197-I197</f>
        <v>297285.75</v>
      </c>
      <c r="L197" s="314">
        <v>86461.8</v>
      </c>
    </row>
    <row r="198" spans="1:12" ht="12.75" x14ac:dyDescent="0.2">
      <c r="A198" s="87" t="s">
        <v>510</v>
      </c>
      <c r="B198" s="314">
        <v>13209000</v>
      </c>
      <c r="C198" s="314">
        <v>39595815.979999997</v>
      </c>
      <c r="D198" s="314">
        <v>2179794.11</v>
      </c>
      <c r="E198" s="314">
        <v>21916644.760000002</v>
      </c>
      <c r="F198" s="314">
        <f t="shared" si="30"/>
        <v>1.7722834079850498</v>
      </c>
      <c r="G198" s="314">
        <f>C198-E198</f>
        <v>17679171.219999995</v>
      </c>
      <c r="H198" s="314">
        <v>4265599.4000000004</v>
      </c>
      <c r="I198" s="314">
        <v>17719859.629999999</v>
      </c>
      <c r="J198" s="314">
        <f t="shared" si="31"/>
        <v>1.5184807941113405</v>
      </c>
      <c r="K198" s="316">
        <f>C198-I198</f>
        <v>21875956.349999998</v>
      </c>
      <c r="L198" s="314">
        <v>4196785.13</v>
      </c>
    </row>
    <row r="199" spans="1:12" ht="12.75" x14ac:dyDescent="0.2">
      <c r="A199" s="87" t="s">
        <v>511</v>
      </c>
      <c r="B199" s="314">
        <v>241000</v>
      </c>
      <c r="C199" s="314">
        <v>458500</v>
      </c>
      <c r="D199" s="314">
        <v>64016</v>
      </c>
      <c r="E199" s="314">
        <v>404360.34</v>
      </c>
      <c r="F199" s="314">
        <f t="shared" si="30"/>
        <v>3.2698486893264468E-2</v>
      </c>
      <c r="G199" s="314">
        <f>C199-E199</f>
        <v>54139.659999999974</v>
      </c>
      <c r="H199" s="314">
        <v>60010</v>
      </c>
      <c r="I199" s="314">
        <v>362879.59</v>
      </c>
      <c r="J199" s="314">
        <f t="shared" si="31"/>
        <v>3.1096504119993287E-2</v>
      </c>
      <c r="K199" s="316">
        <f>C199-I199</f>
        <v>95620.409999999974</v>
      </c>
      <c r="L199" s="314">
        <v>41480.75</v>
      </c>
    </row>
    <row r="200" spans="1:12" ht="12.75" x14ac:dyDescent="0.2">
      <c r="A200" s="87" t="s">
        <v>426</v>
      </c>
      <c r="B200" s="314"/>
      <c r="C200" s="314"/>
      <c r="D200" s="314"/>
      <c r="E200" s="314"/>
      <c r="F200" s="314">
        <f t="shared" si="30"/>
        <v>0</v>
      </c>
      <c r="G200" s="314">
        <f>C200-E200</f>
        <v>0</v>
      </c>
      <c r="H200" s="314"/>
      <c r="I200" s="314"/>
      <c r="J200" s="314">
        <f t="shared" si="31"/>
        <v>0</v>
      </c>
      <c r="K200" s="316">
        <f>C200-I200</f>
        <v>0</v>
      </c>
      <c r="L200" s="314"/>
    </row>
    <row r="201" spans="1:12" ht="12.75" x14ac:dyDescent="0.2">
      <c r="A201" s="87" t="s">
        <v>420</v>
      </c>
      <c r="B201" s="314"/>
      <c r="C201" s="314"/>
      <c r="D201" s="314"/>
      <c r="E201" s="314"/>
      <c r="F201" s="314">
        <f t="shared" si="30"/>
        <v>0</v>
      </c>
      <c r="G201" s="314">
        <f>C201-E201</f>
        <v>0</v>
      </c>
      <c r="H201" s="314"/>
      <c r="I201" s="314"/>
      <c r="J201" s="314">
        <f t="shared" si="31"/>
        <v>0</v>
      </c>
      <c r="K201" s="316">
        <f>C201-I201</f>
        <v>0</v>
      </c>
      <c r="L201" s="314"/>
    </row>
    <row r="202" spans="1:12" ht="12.75" x14ac:dyDescent="0.2">
      <c r="A202" s="54" t="s">
        <v>303</v>
      </c>
      <c r="B202" s="314">
        <f>SUM(B203:B210)</f>
        <v>29732100</v>
      </c>
      <c r="C202" s="314">
        <f>SUM(C203:C210)</f>
        <v>32774961.020000003</v>
      </c>
      <c r="D202" s="314">
        <f>SUM(D203:D210)</f>
        <v>3418270.76</v>
      </c>
      <c r="E202" s="314">
        <f>SUM(E203:E210)</f>
        <v>26330753.850000001</v>
      </c>
      <c r="F202" s="314">
        <f t="shared" si="30"/>
        <v>2.1292291169158628</v>
      </c>
      <c r="G202" s="314">
        <f>SUM(G203:G210)</f>
        <v>6444207.1700000018</v>
      </c>
      <c r="H202" s="314">
        <f>SUM(H203:H210)</f>
        <v>3486237.6399999997</v>
      </c>
      <c r="I202" s="314">
        <f>SUM(I203:I210)</f>
        <v>25928894.039999999</v>
      </c>
      <c r="J202" s="314">
        <f t="shared" si="31"/>
        <v>2.2219435387416784</v>
      </c>
      <c r="K202" s="316">
        <f>SUM(K203:K210)</f>
        <v>6846066.9800000023</v>
      </c>
      <c r="L202" s="314">
        <f>SUM(L203:L210)</f>
        <v>401859.81</v>
      </c>
    </row>
    <row r="203" spans="1:12" ht="12.75" x14ac:dyDescent="0.2">
      <c r="A203" s="87" t="s">
        <v>512</v>
      </c>
      <c r="B203" s="314"/>
      <c r="C203" s="314"/>
      <c r="D203" s="314"/>
      <c r="E203" s="314"/>
      <c r="F203" s="314">
        <f t="shared" si="30"/>
        <v>0</v>
      </c>
      <c r="G203" s="314">
        <f t="shared" ref="G203:G212" si="36">C203-E203</f>
        <v>0</v>
      </c>
      <c r="H203" s="314"/>
      <c r="I203" s="314"/>
      <c r="J203" s="314">
        <f t="shared" si="31"/>
        <v>0</v>
      </c>
      <c r="K203" s="316">
        <f t="shared" ref="K203:K212" si="37">C203-I203</f>
        <v>0</v>
      </c>
      <c r="L203" s="314"/>
    </row>
    <row r="204" spans="1:12" ht="12.75" x14ac:dyDescent="0.2">
      <c r="A204" s="87" t="s">
        <v>513</v>
      </c>
      <c r="B204" s="314"/>
      <c r="C204" s="314"/>
      <c r="D204" s="314"/>
      <c r="E204" s="314"/>
      <c r="F204" s="314">
        <f t="shared" si="30"/>
        <v>0</v>
      </c>
      <c r="G204" s="314">
        <f t="shared" si="36"/>
        <v>0</v>
      </c>
      <c r="H204" s="314"/>
      <c r="I204" s="314"/>
      <c r="J204" s="314">
        <f t="shared" si="31"/>
        <v>0</v>
      </c>
      <c r="K204" s="316">
        <f t="shared" si="37"/>
        <v>0</v>
      </c>
      <c r="L204" s="314"/>
    </row>
    <row r="205" spans="1:12" ht="12.75" x14ac:dyDescent="0.2">
      <c r="A205" s="87" t="s">
        <v>514</v>
      </c>
      <c r="B205" s="314">
        <v>17470100</v>
      </c>
      <c r="C205" s="314">
        <v>17788466.370000001</v>
      </c>
      <c r="D205" s="314">
        <v>1932005.68</v>
      </c>
      <c r="E205" s="314">
        <v>12188743.189999999</v>
      </c>
      <c r="F205" s="314">
        <f t="shared" si="30"/>
        <v>0.98563934198784564</v>
      </c>
      <c r="G205" s="314">
        <f t="shared" si="36"/>
        <v>5599723.1800000016</v>
      </c>
      <c r="H205" s="314">
        <v>1932005.68</v>
      </c>
      <c r="I205" s="314">
        <v>12188743.189999999</v>
      </c>
      <c r="J205" s="314">
        <f t="shared" si="31"/>
        <v>1.0444988179836046</v>
      </c>
      <c r="K205" s="316">
        <f t="shared" si="37"/>
        <v>5599723.1800000016</v>
      </c>
      <c r="L205" s="314">
        <v>0</v>
      </c>
    </row>
    <row r="206" spans="1:12" ht="12.75" x14ac:dyDescent="0.2">
      <c r="A206" s="87" t="s">
        <v>515</v>
      </c>
      <c r="B206" s="314"/>
      <c r="C206" s="314"/>
      <c r="D206" s="314"/>
      <c r="E206" s="314"/>
      <c r="F206" s="314">
        <f t="shared" si="30"/>
        <v>0</v>
      </c>
      <c r="G206" s="314">
        <f t="shared" si="36"/>
        <v>0</v>
      </c>
      <c r="H206" s="314"/>
      <c r="I206" s="314"/>
      <c r="J206" s="314">
        <f t="shared" si="31"/>
        <v>0</v>
      </c>
      <c r="K206" s="316">
        <f t="shared" si="37"/>
        <v>0</v>
      </c>
      <c r="L206" s="314"/>
    </row>
    <row r="207" spans="1:12" ht="12.75" x14ac:dyDescent="0.2">
      <c r="A207" s="87" t="s">
        <v>516</v>
      </c>
      <c r="B207" s="314"/>
      <c r="C207" s="314"/>
      <c r="D207" s="314"/>
      <c r="E207" s="314"/>
      <c r="F207" s="314">
        <f t="shared" si="30"/>
        <v>0</v>
      </c>
      <c r="G207" s="314">
        <f t="shared" si="36"/>
        <v>0</v>
      </c>
      <c r="H207" s="314"/>
      <c r="I207" s="314"/>
      <c r="J207" s="314">
        <f t="shared" si="31"/>
        <v>0</v>
      </c>
      <c r="K207" s="316">
        <f t="shared" si="37"/>
        <v>0</v>
      </c>
      <c r="L207" s="314"/>
    </row>
    <row r="208" spans="1:12" ht="12.75" x14ac:dyDescent="0.2">
      <c r="A208" s="87" t="s">
        <v>517</v>
      </c>
      <c r="B208" s="314">
        <v>12262000</v>
      </c>
      <c r="C208" s="314">
        <v>14986494.65</v>
      </c>
      <c r="D208" s="314">
        <v>1486265.08</v>
      </c>
      <c r="E208" s="314">
        <v>14142010.66</v>
      </c>
      <c r="F208" s="314">
        <f t="shared" si="30"/>
        <v>1.1435897749280171</v>
      </c>
      <c r="G208" s="314">
        <f t="shared" si="36"/>
        <v>844483.99000000022</v>
      </c>
      <c r="H208" s="314">
        <v>1554231.96</v>
      </c>
      <c r="I208" s="314">
        <v>13740150.85</v>
      </c>
      <c r="J208" s="314">
        <f t="shared" si="31"/>
        <v>1.1774447207580736</v>
      </c>
      <c r="K208" s="316">
        <f t="shared" si="37"/>
        <v>1246343.8000000007</v>
      </c>
      <c r="L208" s="314">
        <v>401859.81</v>
      </c>
    </row>
    <row r="209" spans="1:12" ht="12.75" x14ac:dyDescent="0.2">
      <c r="A209" s="87" t="s">
        <v>707</v>
      </c>
      <c r="B209" s="314"/>
      <c r="C209" s="314"/>
      <c r="D209" s="314"/>
      <c r="E209" s="314"/>
      <c r="F209" s="314">
        <f t="shared" si="30"/>
        <v>0</v>
      </c>
      <c r="G209" s="314">
        <f t="shared" si="36"/>
        <v>0</v>
      </c>
      <c r="H209" s="314"/>
      <c r="I209" s="314"/>
      <c r="J209" s="314">
        <f t="shared" si="31"/>
        <v>0</v>
      </c>
      <c r="K209" s="316">
        <f t="shared" si="37"/>
        <v>0</v>
      </c>
      <c r="L209" s="314"/>
    </row>
    <row r="210" spans="1:12" ht="12.75" x14ac:dyDescent="0.2">
      <c r="A210" s="87" t="s">
        <v>420</v>
      </c>
      <c r="B210" s="314"/>
      <c r="C210" s="314"/>
      <c r="D210" s="314"/>
      <c r="E210" s="314"/>
      <c r="F210" s="314">
        <f t="shared" si="30"/>
        <v>0</v>
      </c>
      <c r="G210" s="314">
        <f t="shared" si="36"/>
        <v>0</v>
      </c>
      <c r="H210" s="314"/>
      <c r="I210" s="314"/>
      <c r="J210" s="314">
        <f t="shared" si="31"/>
        <v>0</v>
      </c>
      <c r="K210" s="316">
        <f t="shared" si="37"/>
        <v>0</v>
      </c>
      <c r="L210" s="314"/>
    </row>
    <row r="211" spans="1:12" ht="12.75" x14ac:dyDescent="0.2">
      <c r="A211" s="54" t="s">
        <v>69</v>
      </c>
      <c r="B211" s="318">
        <v>31651800</v>
      </c>
      <c r="C211" s="318">
        <v>23132300</v>
      </c>
      <c r="D211" s="559"/>
      <c r="E211" s="559"/>
      <c r="F211" s="559"/>
      <c r="G211" s="318">
        <f t="shared" si="36"/>
        <v>23132300</v>
      </c>
      <c r="H211" s="559"/>
      <c r="I211" s="559"/>
      <c r="J211" s="559"/>
      <c r="K211" s="318">
        <f t="shared" si="37"/>
        <v>23132300</v>
      </c>
      <c r="L211" s="559"/>
    </row>
    <row r="212" spans="1:12" ht="12.75" x14ac:dyDescent="0.2">
      <c r="A212" s="54" t="s">
        <v>176</v>
      </c>
      <c r="B212" s="314">
        <f>B221</f>
        <v>89396600</v>
      </c>
      <c r="C212" s="314">
        <f>C221</f>
        <v>104660438.86</v>
      </c>
      <c r="D212" s="314">
        <f>D221</f>
        <v>20866367.130000006</v>
      </c>
      <c r="E212" s="314">
        <f>E221</f>
        <v>101601998.73</v>
      </c>
      <c r="F212" s="314">
        <f>IF($E$213&gt;0,E212/$E$213,0)*100</f>
        <v>8.2160174853012986</v>
      </c>
      <c r="G212" s="314">
        <f t="shared" si="36"/>
        <v>3058440.1299999952</v>
      </c>
      <c r="H212" s="314">
        <f>H221</f>
        <v>24370584.420000006</v>
      </c>
      <c r="I212" s="314">
        <f>I221</f>
        <v>100947826.85000001</v>
      </c>
      <c r="J212" s="314">
        <f>IF($I$213&gt;0,I212/$I$213,0)*100</f>
        <v>8.6505954042369648</v>
      </c>
      <c r="K212" s="316">
        <f t="shared" si="37"/>
        <v>3712612.0099999905</v>
      </c>
      <c r="L212" s="314">
        <f>L221</f>
        <v>654171.88</v>
      </c>
    </row>
    <row r="213" spans="1:12" ht="12.75" x14ac:dyDescent="0.2">
      <c r="A213" s="58" t="s">
        <v>177</v>
      </c>
      <c r="B213" s="564">
        <f>B212+B19</f>
        <v>1079000000</v>
      </c>
      <c r="C213" s="564">
        <f>C212+C19</f>
        <v>1374366969.3099999</v>
      </c>
      <c r="D213" s="564">
        <f>D212+D19</f>
        <v>163596973.87</v>
      </c>
      <c r="E213" s="564">
        <f>E212+E19</f>
        <v>1236633185.26</v>
      </c>
      <c r="F213" s="564">
        <f>IF($E$213&gt;0,E213/$E$213,0)*100</f>
        <v>100</v>
      </c>
      <c r="G213" s="564">
        <f>G212+G19</f>
        <v>137733784.05000001</v>
      </c>
      <c r="H213" s="564">
        <f>H212+H19</f>
        <v>226691910.98999998</v>
      </c>
      <c r="I213" s="564">
        <f>I212+I19</f>
        <v>1166946575.73</v>
      </c>
      <c r="J213" s="564">
        <f>IF($I$213&gt;0,I213/$I$213,0)*100</f>
        <v>100</v>
      </c>
      <c r="K213" s="565">
        <f>K212+K19</f>
        <v>207420393.57999998</v>
      </c>
      <c r="L213" s="564">
        <f>L212+L19</f>
        <v>69686609.530000001</v>
      </c>
    </row>
    <row r="214" spans="1:12" ht="12.75" x14ac:dyDescent="0.2">
      <c r="A214" s="918"/>
      <c r="B214" s="921"/>
      <c r="C214" s="921"/>
      <c r="D214" s="921"/>
      <c r="E214" s="921"/>
      <c r="F214" s="921"/>
      <c r="G214" s="921"/>
      <c r="H214" s="921"/>
      <c r="I214" s="921"/>
      <c r="J214" s="921"/>
      <c r="K214" s="921"/>
      <c r="L214" s="921"/>
    </row>
    <row r="215" spans="1:12" ht="12.75" x14ac:dyDescent="0.2">
      <c r="A215" s="925"/>
      <c r="B215" s="925"/>
      <c r="C215" s="925"/>
      <c r="D215" s="23"/>
      <c r="E215" s="23"/>
      <c r="F215" s="23"/>
      <c r="G215" s="23"/>
      <c r="H215" s="23"/>
      <c r="I215" s="23"/>
      <c r="J215" s="23"/>
      <c r="K215" s="23"/>
      <c r="L215" s="23"/>
    </row>
    <row r="216" spans="1:12" ht="12.75" x14ac:dyDescent="0.2">
      <c r="A216" s="935"/>
      <c r="B216" s="935"/>
      <c r="C216" s="935"/>
      <c r="D216" s="935"/>
      <c r="E216" s="935"/>
      <c r="F216" s="935"/>
      <c r="G216" s="935"/>
      <c r="H216" s="935"/>
      <c r="I216" s="935"/>
      <c r="J216" s="935"/>
      <c r="K216" s="23"/>
      <c r="L216" s="23"/>
    </row>
    <row r="217" spans="1:12" s="51" customFormat="1" ht="11.25" customHeight="1" x14ac:dyDescent="0.2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</row>
    <row r="218" spans="1:12" ht="24.75" customHeight="1" x14ac:dyDescent="0.2">
      <c r="A218" s="63"/>
      <c r="B218" s="176" t="s">
        <v>109</v>
      </c>
      <c r="C218" s="176" t="s">
        <v>109</v>
      </c>
      <c r="D218" s="926" t="s">
        <v>110</v>
      </c>
      <c r="E218" s="927"/>
      <c r="F218" s="928"/>
      <c r="G218" s="177" t="s">
        <v>113</v>
      </c>
      <c r="H218" s="929" t="s">
        <v>111</v>
      </c>
      <c r="I218" s="930"/>
      <c r="J218" s="931"/>
      <c r="K218" s="177" t="s">
        <v>113</v>
      </c>
      <c r="L218" s="932" t="s">
        <v>925</v>
      </c>
    </row>
    <row r="219" spans="1:12" ht="20.25" customHeight="1" x14ac:dyDescent="0.2">
      <c r="A219" s="181" t="s">
        <v>121</v>
      </c>
      <c r="B219" s="178" t="s">
        <v>80</v>
      </c>
      <c r="C219" s="178" t="s">
        <v>81</v>
      </c>
      <c r="D219" s="176" t="str">
        <f>D17</f>
        <v>No Bimestre</v>
      </c>
      <c r="E219" s="176" t="str">
        <f>E17</f>
        <v>Até o  Bimestre</v>
      </c>
      <c r="F219" s="176" t="s">
        <v>83</v>
      </c>
      <c r="G219" s="67"/>
      <c r="H219" s="176" t="str">
        <f>H17</f>
        <v>No Bimestre</v>
      </c>
      <c r="I219" s="176" t="str">
        <f>I17</f>
        <v>Até o  Bimestre</v>
      </c>
      <c r="J219" s="176" t="s">
        <v>83</v>
      </c>
      <c r="K219" s="67"/>
      <c r="L219" s="933"/>
    </row>
    <row r="220" spans="1:12" ht="21.75" customHeight="1" x14ac:dyDescent="0.2">
      <c r="A220" s="68"/>
      <c r="B220" s="179"/>
      <c r="C220" s="180" t="s">
        <v>85</v>
      </c>
      <c r="D220" s="180"/>
      <c r="E220" s="180" t="s">
        <v>86</v>
      </c>
      <c r="F220" s="180" t="s">
        <v>39</v>
      </c>
      <c r="G220" s="71" t="s">
        <v>278</v>
      </c>
      <c r="H220" s="180"/>
      <c r="I220" s="180" t="s">
        <v>114</v>
      </c>
      <c r="J220" s="180" t="s">
        <v>677</v>
      </c>
      <c r="K220" s="71" t="s">
        <v>676</v>
      </c>
      <c r="L220" s="934"/>
    </row>
    <row r="221" spans="1:12" ht="11.25" customHeight="1" x14ac:dyDescent="0.2">
      <c r="A221" s="53" t="s">
        <v>176</v>
      </c>
      <c r="B221" s="314">
        <f>B222+B227+B232+B237+B250+B256+B262+B267+B274+B281+B290+B297+B308+B313+B319+B325+B330+B335+B343+B349+B357+B362+B370+B378+B383+B390+B398+B404+B413</f>
        <v>89396600</v>
      </c>
      <c r="C221" s="314">
        <f>C222+C227+C232+C237+C250+C256+C262+C267+C274+C281+C290+C297+C308+C313+C319+C325+C330+C335+C343+C349+C357+C362+C370+C378+C383+C390+C398+C404+C413</f>
        <v>104660438.86</v>
      </c>
      <c r="D221" s="314">
        <f>D222+D227+D232+D237+D250+D256+D262+D267+D274+D281+D290+D297+D308+D313+D319+D325+D330+D335+D343+D349+D357+D362+D370+D378+D383+D390+D398+D404+D413</f>
        <v>20866367.130000006</v>
      </c>
      <c r="E221" s="314">
        <f>E222+E227+E232+E237+E250+E256+E262+E267+E274+E281+E290+E297+E308+E313+E319+E325+E330+E335+E343+E349+E357+E362+E370+E378+E383+E390+E398+E404+E413</f>
        <v>101601998.73</v>
      </c>
      <c r="F221" s="314">
        <f t="shared" ref="F221:F252" si="38">IF($E$213&gt;0,E221/$E$213,0)*100</f>
        <v>8.2160174853012986</v>
      </c>
      <c r="G221" s="314">
        <f>G222+G227+G232+G237+G250+G256+G262+G267+G274+G281+G290+G297+G308+G313+G319+G325+G330+G335+G343+G349+G357+G362+G370+G378+G383+G390+G398+G404+G413</f>
        <v>3058440.13</v>
      </c>
      <c r="H221" s="314">
        <f>H222+H227+H232+H237+H250+H256+H262+H267+H274+H281+H290+H297+H308+H313+H319+H325+H330+H335+H343+H349+H357+H362+H370+H378+H383+H390+H398+H404+H413</f>
        <v>24370584.420000006</v>
      </c>
      <c r="I221" s="314">
        <f>I222+I227+I232+I237+I250+I256+I262+I267+I274+I281+I290+I297+I308+I313+I319+I325+I330+I335+I343+I349+I357+I362+I370+I378+I383+I390+I398+I404+I413</f>
        <v>100947826.85000001</v>
      </c>
      <c r="J221" s="316">
        <f t="shared" ref="J221:J252" si="39">IF($I$213&gt;0,I221/$I$213,0)*100</f>
        <v>8.6505954042369648</v>
      </c>
      <c r="K221" s="316">
        <f>K222+K227+K232+K237+K250+K256+K262+K267+K274+K281+K290+K297+K308+K313+K319+K325+K330+K335+K343+K349+K357+K362+K370+K378+K383+K390+K398+K404+K413</f>
        <v>3712612.0100000021</v>
      </c>
      <c r="L221" s="312">
        <f>L222+L227+L232+L237+L250+L256+L262+L267+L274+L281+L290+L297+L308+L313+L319+L325+L330+L335+L343+L349+L357+L362+L370+L378+L383+L390+L398+L404+L413</f>
        <v>654171.88</v>
      </c>
    </row>
    <row r="222" spans="1:12" ht="11.25" customHeight="1" x14ac:dyDescent="0.2">
      <c r="A222" s="54" t="s">
        <v>269</v>
      </c>
      <c r="B222" s="314">
        <f>SUM(B223:B226)</f>
        <v>1230000</v>
      </c>
      <c r="C222" s="314">
        <f>SUM(C223:C226)</f>
        <v>1508500</v>
      </c>
      <c r="D222" s="314">
        <f>SUM(D223:D226)</f>
        <v>453319.61</v>
      </c>
      <c r="E222" s="314">
        <f>SUM(E223:E226)</f>
        <v>1461479.93</v>
      </c>
      <c r="F222" s="314">
        <f t="shared" si="38"/>
        <v>0.11818216973473231</v>
      </c>
      <c r="G222" s="314">
        <f>SUM(G223:G226)</f>
        <v>47020.070000000065</v>
      </c>
      <c r="H222" s="314">
        <f>SUM(H223:H226)</f>
        <v>386239.97</v>
      </c>
      <c r="I222" s="314">
        <f>SUM(I223:I226)</f>
        <v>1374380.26</v>
      </c>
      <c r="J222" s="316">
        <f t="shared" si="39"/>
        <v>0.11777576528216273</v>
      </c>
      <c r="K222" s="316">
        <f>SUM(K223:K226)</f>
        <v>134119.74</v>
      </c>
      <c r="L222" s="314">
        <f>SUM(L223:L226)</f>
        <v>87099.67</v>
      </c>
    </row>
    <row r="223" spans="1:12" ht="11.25" customHeight="1" x14ac:dyDescent="0.2">
      <c r="A223" s="87" t="s">
        <v>418</v>
      </c>
      <c r="B223" s="375">
        <v>1230000</v>
      </c>
      <c r="C223" s="314">
        <v>1508500</v>
      </c>
      <c r="D223" s="314">
        <v>453319.61</v>
      </c>
      <c r="E223" s="314">
        <v>1461479.93</v>
      </c>
      <c r="F223" s="314">
        <f t="shared" si="38"/>
        <v>0.11818216973473231</v>
      </c>
      <c r="G223" s="314">
        <f>C223-E223</f>
        <v>47020.070000000065</v>
      </c>
      <c r="H223" s="314">
        <v>386239.97</v>
      </c>
      <c r="I223" s="314">
        <v>1374380.26</v>
      </c>
      <c r="J223" s="316">
        <f t="shared" si="39"/>
        <v>0.11777576528216273</v>
      </c>
      <c r="K223" s="316">
        <f>C223-I223</f>
        <v>134119.74</v>
      </c>
      <c r="L223" s="314">
        <v>87099.67</v>
      </c>
    </row>
    <row r="224" spans="1:12" ht="11.25" customHeight="1" x14ac:dyDescent="0.2">
      <c r="A224" s="87" t="s">
        <v>419</v>
      </c>
      <c r="B224" s="375"/>
      <c r="C224" s="314"/>
      <c r="D224" s="314"/>
      <c r="E224" s="314"/>
      <c r="F224" s="314">
        <f t="shared" si="38"/>
        <v>0</v>
      </c>
      <c r="G224" s="314">
        <f>C224-E224</f>
        <v>0</v>
      </c>
      <c r="H224" s="314"/>
      <c r="I224" s="314"/>
      <c r="J224" s="316">
        <f t="shared" si="39"/>
        <v>0</v>
      </c>
      <c r="K224" s="316">
        <f>C224-I224</f>
        <v>0</v>
      </c>
      <c r="L224" s="314"/>
    </row>
    <row r="225" spans="1:12" ht="11.25" customHeight="1" x14ac:dyDescent="0.2">
      <c r="A225" s="87" t="s">
        <v>426</v>
      </c>
      <c r="B225" s="375"/>
      <c r="C225" s="314"/>
      <c r="D225" s="314"/>
      <c r="E225" s="314"/>
      <c r="F225" s="314">
        <f t="shared" si="38"/>
        <v>0</v>
      </c>
      <c r="G225" s="314">
        <f>C225-E225</f>
        <v>0</v>
      </c>
      <c r="H225" s="314"/>
      <c r="I225" s="314"/>
      <c r="J225" s="316">
        <f t="shared" si="39"/>
        <v>0</v>
      </c>
      <c r="K225" s="316">
        <f>C225-I225</f>
        <v>0</v>
      </c>
      <c r="L225" s="314"/>
    </row>
    <row r="226" spans="1:12" ht="11.25" customHeight="1" x14ac:dyDescent="0.2">
      <c r="A226" s="87" t="s">
        <v>420</v>
      </c>
      <c r="B226" s="375"/>
      <c r="C226" s="314"/>
      <c r="D226" s="314"/>
      <c r="E226" s="314"/>
      <c r="F226" s="314">
        <f t="shared" si="38"/>
        <v>0</v>
      </c>
      <c r="G226" s="314">
        <f>C226-E226</f>
        <v>0</v>
      </c>
      <c r="H226" s="314"/>
      <c r="I226" s="314"/>
      <c r="J226" s="314">
        <f t="shared" si="39"/>
        <v>0</v>
      </c>
      <c r="K226" s="316">
        <f>C226-I226</f>
        <v>0</v>
      </c>
      <c r="L226" s="314"/>
    </row>
    <row r="227" spans="1:12" ht="11.25" customHeight="1" x14ac:dyDescent="0.2">
      <c r="A227" s="54" t="s">
        <v>270</v>
      </c>
      <c r="B227" s="314">
        <f>SUM(B228:B231)</f>
        <v>0</v>
      </c>
      <c r="C227" s="314">
        <f>SUM(C228:C231)</f>
        <v>0</v>
      </c>
      <c r="D227" s="314">
        <f>SUM(D228:D231)</f>
        <v>0</v>
      </c>
      <c r="E227" s="314">
        <f>SUM(E228:E231)</f>
        <v>0</v>
      </c>
      <c r="F227" s="314">
        <f t="shared" si="38"/>
        <v>0</v>
      </c>
      <c r="G227" s="314">
        <f>SUM(G228:G231)</f>
        <v>0</v>
      </c>
      <c r="H227" s="314">
        <f>SUM(H228:H231)</f>
        <v>0</v>
      </c>
      <c r="I227" s="314">
        <f>SUM(I228:I231)</f>
        <v>0</v>
      </c>
      <c r="J227" s="314">
        <f t="shared" si="39"/>
        <v>0</v>
      </c>
      <c r="K227" s="316">
        <f>SUM(K228:K231)</f>
        <v>0</v>
      </c>
      <c r="L227" s="314">
        <f>SUM(L228:L231)</f>
        <v>0</v>
      </c>
    </row>
    <row r="228" spans="1:12" ht="11.25" customHeight="1" x14ac:dyDescent="0.2">
      <c r="A228" s="87" t="s">
        <v>421</v>
      </c>
      <c r="B228" s="314"/>
      <c r="C228" s="314"/>
      <c r="D228" s="314"/>
      <c r="E228" s="314"/>
      <c r="F228" s="314">
        <f t="shared" si="38"/>
        <v>0</v>
      </c>
      <c r="G228" s="314">
        <f>C228-E228</f>
        <v>0</v>
      </c>
      <c r="H228" s="314"/>
      <c r="I228" s="314"/>
      <c r="J228" s="314">
        <f t="shared" si="39"/>
        <v>0</v>
      </c>
      <c r="K228" s="316">
        <f>C228-I228</f>
        <v>0</v>
      </c>
      <c r="L228" s="314"/>
    </row>
    <row r="229" spans="1:12" ht="11.25" customHeight="1" x14ac:dyDescent="0.2">
      <c r="A229" s="87" t="s">
        <v>422</v>
      </c>
      <c r="B229" s="314"/>
      <c r="C229" s="314"/>
      <c r="D229" s="314"/>
      <c r="E229" s="314"/>
      <c r="F229" s="314">
        <f t="shared" si="38"/>
        <v>0</v>
      </c>
      <c r="G229" s="314">
        <f>C229-E229</f>
        <v>0</v>
      </c>
      <c r="H229" s="314"/>
      <c r="I229" s="314"/>
      <c r="J229" s="314">
        <f t="shared" si="39"/>
        <v>0</v>
      </c>
      <c r="K229" s="316">
        <f>C229-I229</f>
        <v>0</v>
      </c>
      <c r="L229" s="314"/>
    </row>
    <row r="230" spans="1:12" ht="11.25" customHeight="1" x14ac:dyDescent="0.2">
      <c r="A230" s="87" t="s">
        <v>426</v>
      </c>
      <c r="B230" s="314"/>
      <c r="C230" s="314"/>
      <c r="D230" s="314"/>
      <c r="E230" s="314"/>
      <c r="F230" s="314">
        <f t="shared" si="38"/>
        <v>0</v>
      </c>
      <c r="G230" s="314">
        <f>C230-E230</f>
        <v>0</v>
      </c>
      <c r="H230" s="314"/>
      <c r="I230" s="314"/>
      <c r="J230" s="314">
        <f t="shared" si="39"/>
        <v>0</v>
      </c>
      <c r="K230" s="316">
        <f>C230-I230</f>
        <v>0</v>
      </c>
      <c r="L230" s="314"/>
    </row>
    <row r="231" spans="1:12" ht="11.25" customHeight="1" x14ac:dyDescent="0.2">
      <c r="A231" s="87" t="s">
        <v>420</v>
      </c>
      <c r="B231" s="314"/>
      <c r="C231" s="314"/>
      <c r="D231" s="314"/>
      <c r="E231" s="314"/>
      <c r="F231" s="314">
        <f t="shared" si="38"/>
        <v>0</v>
      </c>
      <c r="G231" s="314">
        <f>C231-E231</f>
        <v>0</v>
      </c>
      <c r="H231" s="314"/>
      <c r="I231" s="314"/>
      <c r="J231" s="314">
        <f t="shared" si="39"/>
        <v>0</v>
      </c>
      <c r="K231" s="316">
        <f>C231-I231</f>
        <v>0</v>
      </c>
      <c r="L231" s="314"/>
    </row>
    <row r="232" spans="1:12" ht="11.25" customHeight="1" x14ac:dyDescent="0.2">
      <c r="A232" s="54" t="s">
        <v>271</v>
      </c>
      <c r="B232" s="314">
        <f>SUM(B233:B236)</f>
        <v>0</v>
      </c>
      <c r="C232" s="314">
        <f>SUM(C233:C236)</f>
        <v>0</v>
      </c>
      <c r="D232" s="314">
        <f>SUM(D233:D236)</f>
        <v>0</v>
      </c>
      <c r="E232" s="314">
        <f>SUM(E233:E236)</f>
        <v>0</v>
      </c>
      <c r="F232" s="314">
        <f t="shared" si="38"/>
        <v>0</v>
      </c>
      <c r="G232" s="314">
        <f>SUM(G233:G236)</f>
        <v>0</v>
      </c>
      <c r="H232" s="314">
        <f>SUM(H233:H236)</f>
        <v>0</v>
      </c>
      <c r="I232" s="314">
        <f>SUM(I233:I236)</f>
        <v>0</v>
      </c>
      <c r="J232" s="314">
        <f t="shared" si="39"/>
        <v>0</v>
      </c>
      <c r="K232" s="316">
        <f>SUM(K233:K236)</f>
        <v>0</v>
      </c>
      <c r="L232" s="314">
        <f>SUM(L233:L236)</f>
        <v>0</v>
      </c>
    </row>
    <row r="233" spans="1:12" ht="11.25" customHeight="1" x14ac:dyDescent="0.2">
      <c r="A233" s="87" t="s">
        <v>423</v>
      </c>
      <c r="B233" s="314"/>
      <c r="C233" s="314"/>
      <c r="D233" s="314"/>
      <c r="E233" s="314"/>
      <c r="F233" s="314">
        <f t="shared" si="38"/>
        <v>0</v>
      </c>
      <c r="G233" s="314">
        <f>C233-E233</f>
        <v>0</v>
      </c>
      <c r="H233" s="314"/>
      <c r="I233" s="314"/>
      <c r="J233" s="314">
        <f t="shared" si="39"/>
        <v>0</v>
      </c>
      <c r="K233" s="316">
        <f>C233-I233</f>
        <v>0</v>
      </c>
      <c r="L233" s="314"/>
    </row>
    <row r="234" spans="1:12" ht="11.25" customHeight="1" x14ac:dyDescent="0.2">
      <c r="A234" s="87" t="s">
        <v>424</v>
      </c>
      <c r="B234" s="314"/>
      <c r="C234" s="314"/>
      <c r="D234" s="314"/>
      <c r="E234" s="314"/>
      <c r="F234" s="314">
        <f t="shared" si="38"/>
        <v>0</v>
      </c>
      <c r="G234" s="314">
        <f>C234-E234</f>
        <v>0</v>
      </c>
      <c r="H234" s="314"/>
      <c r="I234" s="314"/>
      <c r="J234" s="314">
        <f t="shared" si="39"/>
        <v>0</v>
      </c>
      <c r="K234" s="316">
        <f>C234-I234</f>
        <v>0</v>
      </c>
      <c r="L234" s="314"/>
    </row>
    <row r="235" spans="1:12" ht="11.25" customHeight="1" x14ac:dyDescent="0.2">
      <c r="A235" s="87" t="s">
        <v>426</v>
      </c>
      <c r="B235" s="314"/>
      <c r="C235" s="314"/>
      <c r="D235" s="314"/>
      <c r="E235" s="314"/>
      <c r="F235" s="314">
        <f t="shared" si="38"/>
        <v>0</v>
      </c>
      <c r="G235" s="314">
        <f>C235-E235</f>
        <v>0</v>
      </c>
      <c r="H235" s="314"/>
      <c r="I235" s="314"/>
      <c r="J235" s="314">
        <f t="shared" si="39"/>
        <v>0</v>
      </c>
      <c r="K235" s="316">
        <f>C235-I235</f>
        <v>0</v>
      </c>
      <c r="L235" s="314"/>
    </row>
    <row r="236" spans="1:12" ht="11.25" customHeight="1" x14ac:dyDescent="0.2">
      <c r="A236" s="87" t="s">
        <v>420</v>
      </c>
      <c r="B236" s="314"/>
      <c r="C236" s="314"/>
      <c r="D236" s="314"/>
      <c r="E236" s="314"/>
      <c r="F236" s="314">
        <f t="shared" si="38"/>
        <v>0</v>
      </c>
      <c r="G236" s="314">
        <f>C236-E236</f>
        <v>0</v>
      </c>
      <c r="H236" s="314"/>
      <c r="I236" s="314"/>
      <c r="J236" s="314">
        <f t="shared" si="39"/>
        <v>0</v>
      </c>
      <c r="K236" s="316">
        <f>C236-I236</f>
        <v>0</v>
      </c>
      <c r="L236" s="314"/>
    </row>
    <row r="237" spans="1:12" ht="11.25" customHeight="1" x14ac:dyDescent="0.2">
      <c r="A237" s="54" t="s">
        <v>279</v>
      </c>
      <c r="B237" s="314">
        <f>SUM(B238:B249)</f>
        <v>7955000</v>
      </c>
      <c r="C237" s="314">
        <f>SUM(C238:C249)</f>
        <v>8250000</v>
      </c>
      <c r="D237" s="314">
        <f>SUM(D238:D249)</f>
        <v>1766365.02</v>
      </c>
      <c r="E237" s="314">
        <f>SUM(E238:E249)</f>
        <v>7981421.1300000008</v>
      </c>
      <c r="F237" s="314">
        <f t="shared" si="38"/>
        <v>0.64541540896154426</v>
      </c>
      <c r="G237" s="314">
        <f>SUM(G238:G249)</f>
        <v>268578.86999999982</v>
      </c>
      <c r="H237" s="314">
        <f>SUM(H238:H249)</f>
        <v>1782914.69</v>
      </c>
      <c r="I237" s="314">
        <f>SUM(I238:I249)</f>
        <v>7919928.7100000009</v>
      </c>
      <c r="J237" s="314">
        <f t="shared" si="39"/>
        <v>0.67868820001854646</v>
      </c>
      <c r="K237" s="316">
        <f>SUM(K238:K249)</f>
        <v>330071.28999999975</v>
      </c>
      <c r="L237" s="314">
        <f>SUM(L238:L249)</f>
        <v>61492.42</v>
      </c>
    </row>
    <row r="238" spans="1:12" ht="11.25" customHeight="1" x14ac:dyDescent="0.2">
      <c r="A238" s="87" t="s">
        <v>425</v>
      </c>
      <c r="B238" s="314"/>
      <c r="C238" s="314"/>
      <c r="D238" s="314"/>
      <c r="E238" s="314"/>
      <c r="F238" s="314">
        <f t="shared" si="38"/>
        <v>0</v>
      </c>
      <c r="G238" s="314">
        <f t="shared" ref="G238:G249" si="40">C238-E238</f>
        <v>0</v>
      </c>
      <c r="H238" s="314"/>
      <c r="I238" s="314"/>
      <c r="J238" s="314">
        <f t="shared" si="39"/>
        <v>0</v>
      </c>
      <c r="K238" s="316">
        <f t="shared" ref="K238:K249" si="41">C238-I238</f>
        <v>0</v>
      </c>
      <c r="L238" s="314"/>
    </row>
    <row r="239" spans="1:12" ht="11.25" customHeight="1" x14ac:dyDescent="0.2">
      <c r="A239" s="87" t="s">
        <v>426</v>
      </c>
      <c r="B239" s="314">
        <v>4400000</v>
      </c>
      <c r="C239" s="314">
        <v>4590000</v>
      </c>
      <c r="D239" s="314">
        <v>979088.45</v>
      </c>
      <c r="E239" s="314">
        <v>4474787.49</v>
      </c>
      <c r="F239" s="314">
        <f t="shared" si="38"/>
        <v>0.36185245093994334</v>
      </c>
      <c r="G239" s="314">
        <f t="shared" si="40"/>
        <v>115212.50999999978</v>
      </c>
      <c r="H239" s="314">
        <v>994618.12</v>
      </c>
      <c r="I239" s="314">
        <v>4413638.07</v>
      </c>
      <c r="J239" s="314">
        <f t="shared" si="39"/>
        <v>0.37822109099030404</v>
      </c>
      <c r="K239" s="316">
        <f t="shared" si="41"/>
        <v>176361.9299999997</v>
      </c>
      <c r="L239" s="314">
        <v>61149.42</v>
      </c>
    </row>
    <row r="240" spans="1:12" ht="11.25" customHeight="1" x14ac:dyDescent="0.2">
      <c r="A240" s="87" t="s">
        <v>427</v>
      </c>
      <c r="B240" s="314">
        <v>1575000</v>
      </c>
      <c r="C240" s="314">
        <v>1605000</v>
      </c>
      <c r="D240" s="314">
        <v>335500.43</v>
      </c>
      <c r="E240" s="314">
        <v>1506610.77</v>
      </c>
      <c r="F240" s="314">
        <f t="shared" si="38"/>
        <v>0.12183166261086854</v>
      </c>
      <c r="G240" s="314">
        <f t="shared" si="40"/>
        <v>98389.229999999981</v>
      </c>
      <c r="H240" s="314">
        <v>336460.43</v>
      </c>
      <c r="I240" s="314">
        <v>1506327.77</v>
      </c>
      <c r="J240" s="314">
        <f t="shared" si="39"/>
        <v>0.12908283903722803</v>
      </c>
      <c r="K240" s="316">
        <f t="shared" si="41"/>
        <v>98672.229999999981</v>
      </c>
      <c r="L240" s="314">
        <v>283</v>
      </c>
    </row>
    <row r="241" spans="1:12" ht="11.25" customHeight="1" x14ac:dyDescent="0.2">
      <c r="A241" s="87" t="s">
        <v>428</v>
      </c>
      <c r="B241" s="314">
        <v>190000</v>
      </c>
      <c r="C241" s="314">
        <v>195000</v>
      </c>
      <c r="D241" s="314">
        <v>42999.32</v>
      </c>
      <c r="E241" s="314">
        <v>187418.19</v>
      </c>
      <c r="F241" s="314">
        <f t="shared" si="38"/>
        <v>1.5155520022745925E-2</v>
      </c>
      <c r="G241" s="314">
        <f t="shared" si="40"/>
        <v>7581.8099999999977</v>
      </c>
      <c r="H241" s="314">
        <v>42999.32</v>
      </c>
      <c r="I241" s="314">
        <v>187418.19</v>
      </c>
      <c r="J241" s="314">
        <f t="shared" si="39"/>
        <v>1.6060563002445755E-2</v>
      </c>
      <c r="K241" s="316">
        <f t="shared" si="41"/>
        <v>7581.8099999999977</v>
      </c>
      <c r="L241" s="314">
        <v>0</v>
      </c>
    </row>
    <row r="242" spans="1:12" ht="11.25" customHeight="1" x14ac:dyDescent="0.2">
      <c r="A242" s="87" t="s">
        <v>429</v>
      </c>
      <c r="B242" s="314"/>
      <c r="C242" s="314"/>
      <c r="D242" s="314"/>
      <c r="E242" s="314"/>
      <c r="F242" s="314">
        <f t="shared" si="38"/>
        <v>0</v>
      </c>
      <c r="G242" s="314">
        <f t="shared" si="40"/>
        <v>0</v>
      </c>
      <c r="H242" s="314"/>
      <c r="I242" s="314"/>
      <c r="J242" s="314">
        <f t="shared" si="39"/>
        <v>0</v>
      </c>
      <c r="K242" s="316">
        <f t="shared" si="41"/>
        <v>0</v>
      </c>
      <c r="L242" s="314"/>
    </row>
    <row r="243" spans="1:12" ht="11.25" customHeight="1" x14ac:dyDescent="0.2">
      <c r="A243" s="87" t="s">
        <v>430</v>
      </c>
      <c r="B243" s="314"/>
      <c r="C243" s="314"/>
      <c r="D243" s="314"/>
      <c r="E243" s="314"/>
      <c r="F243" s="314">
        <f t="shared" si="38"/>
        <v>0</v>
      </c>
      <c r="G243" s="314">
        <f t="shared" si="40"/>
        <v>0</v>
      </c>
      <c r="H243" s="314"/>
      <c r="I243" s="314"/>
      <c r="J243" s="314">
        <f t="shared" si="39"/>
        <v>0</v>
      </c>
      <c r="K243" s="316">
        <f t="shared" si="41"/>
        <v>0</v>
      </c>
      <c r="L243" s="314"/>
    </row>
    <row r="244" spans="1:12" ht="11.25" customHeight="1" x14ac:dyDescent="0.2">
      <c r="A244" s="87" t="s">
        <v>431</v>
      </c>
      <c r="B244" s="314">
        <v>1085000</v>
      </c>
      <c r="C244" s="314">
        <v>1120000</v>
      </c>
      <c r="D244" s="314">
        <v>244349.46</v>
      </c>
      <c r="E244" s="314">
        <v>1102349.95</v>
      </c>
      <c r="F244" s="314">
        <f t="shared" si="38"/>
        <v>8.9141223374838735E-2</v>
      </c>
      <c r="G244" s="314">
        <f t="shared" si="40"/>
        <v>17650.050000000047</v>
      </c>
      <c r="H244" s="314">
        <v>244349.46</v>
      </c>
      <c r="I244" s="314">
        <v>1102349.95</v>
      </c>
      <c r="J244" s="314">
        <f t="shared" si="39"/>
        <v>9.4464474460658934E-2</v>
      </c>
      <c r="K244" s="316">
        <f t="shared" si="41"/>
        <v>17650.050000000047</v>
      </c>
      <c r="L244" s="314">
        <v>0</v>
      </c>
    </row>
    <row r="245" spans="1:12" ht="11.25" customHeight="1" x14ac:dyDescent="0.2">
      <c r="A245" s="87" t="s">
        <v>432</v>
      </c>
      <c r="B245" s="314"/>
      <c r="C245" s="314"/>
      <c r="D245" s="314"/>
      <c r="E245" s="314"/>
      <c r="F245" s="314">
        <f t="shared" si="38"/>
        <v>0</v>
      </c>
      <c r="G245" s="314">
        <f t="shared" si="40"/>
        <v>0</v>
      </c>
      <c r="H245" s="314"/>
      <c r="I245" s="314"/>
      <c r="J245" s="314">
        <f t="shared" si="39"/>
        <v>0</v>
      </c>
      <c r="K245" s="316">
        <f t="shared" si="41"/>
        <v>0</v>
      </c>
      <c r="L245" s="314"/>
    </row>
    <row r="246" spans="1:12" ht="11.25" customHeight="1" x14ac:dyDescent="0.2">
      <c r="A246" s="87" t="s">
        <v>433</v>
      </c>
      <c r="B246" s="314"/>
      <c r="C246" s="314"/>
      <c r="D246" s="314"/>
      <c r="E246" s="314"/>
      <c r="F246" s="314">
        <f t="shared" si="38"/>
        <v>0</v>
      </c>
      <c r="G246" s="314">
        <f t="shared" si="40"/>
        <v>0</v>
      </c>
      <c r="H246" s="314"/>
      <c r="I246" s="314"/>
      <c r="J246" s="314">
        <f t="shared" si="39"/>
        <v>0</v>
      </c>
      <c r="K246" s="316">
        <f t="shared" si="41"/>
        <v>0</v>
      </c>
      <c r="L246" s="314"/>
    </row>
    <row r="247" spans="1:12" ht="11.25" customHeight="1" x14ac:dyDescent="0.2">
      <c r="A247" s="87" t="s">
        <v>434</v>
      </c>
      <c r="B247" s="314"/>
      <c r="C247" s="314"/>
      <c r="D247" s="314"/>
      <c r="E247" s="314"/>
      <c r="F247" s="314">
        <f t="shared" si="38"/>
        <v>0</v>
      </c>
      <c r="G247" s="314">
        <f t="shared" si="40"/>
        <v>0</v>
      </c>
      <c r="H247" s="314"/>
      <c r="I247" s="314"/>
      <c r="J247" s="314">
        <f t="shared" si="39"/>
        <v>0</v>
      </c>
      <c r="K247" s="316">
        <f t="shared" si="41"/>
        <v>0</v>
      </c>
      <c r="L247" s="314"/>
    </row>
    <row r="248" spans="1:12" ht="11.25" customHeight="1" x14ac:dyDescent="0.2">
      <c r="A248" s="87" t="s">
        <v>435</v>
      </c>
      <c r="B248" s="314">
        <v>705000</v>
      </c>
      <c r="C248" s="314">
        <v>740000</v>
      </c>
      <c r="D248" s="314">
        <v>164427.35999999999</v>
      </c>
      <c r="E248" s="314">
        <v>710254.73</v>
      </c>
      <c r="F248" s="314">
        <f t="shared" si="38"/>
        <v>5.7434552013147712E-2</v>
      </c>
      <c r="G248" s="314">
        <f t="shared" si="40"/>
        <v>29745.270000000019</v>
      </c>
      <c r="H248" s="314">
        <v>164487.35999999999</v>
      </c>
      <c r="I248" s="314">
        <v>710194.73</v>
      </c>
      <c r="J248" s="314">
        <f t="shared" si="39"/>
        <v>6.0859232527909646E-2</v>
      </c>
      <c r="K248" s="316">
        <f t="shared" si="41"/>
        <v>29805.270000000019</v>
      </c>
      <c r="L248" s="314">
        <v>60</v>
      </c>
    </row>
    <row r="249" spans="1:12" ht="11.25" customHeight="1" x14ac:dyDescent="0.2">
      <c r="A249" s="87" t="s">
        <v>420</v>
      </c>
      <c r="B249" s="314"/>
      <c r="C249" s="314"/>
      <c r="D249" s="314"/>
      <c r="E249" s="314"/>
      <c r="F249" s="314">
        <f t="shared" si="38"/>
        <v>0</v>
      </c>
      <c r="G249" s="314">
        <f t="shared" si="40"/>
        <v>0</v>
      </c>
      <c r="H249" s="314"/>
      <c r="I249" s="314"/>
      <c r="J249" s="314">
        <f t="shared" si="39"/>
        <v>0</v>
      </c>
      <c r="K249" s="316">
        <f t="shared" si="41"/>
        <v>0</v>
      </c>
      <c r="L249" s="314"/>
    </row>
    <row r="250" spans="1:12" ht="11.25" customHeight="1" x14ac:dyDescent="0.2">
      <c r="A250" s="54" t="s">
        <v>280</v>
      </c>
      <c r="B250" s="314">
        <f>SUM(B251:B255)</f>
        <v>0</v>
      </c>
      <c r="C250" s="314">
        <f>SUM(C251:C255)</f>
        <v>0</v>
      </c>
      <c r="D250" s="314">
        <f>SUM(D251:D255)</f>
        <v>0</v>
      </c>
      <c r="E250" s="314">
        <f>SUM(E251:E255)</f>
        <v>0</v>
      </c>
      <c r="F250" s="314">
        <f t="shared" si="38"/>
        <v>0</v>
      </c>
      <c r="G250" s="314">
        <f>SUM(G251:G255)</f>
        <v>0</v>
      </c>
      <c r="H250" s="314">
        <f>SUM(H251:H255)</f>
        <v>0</v>
      </c>
      <c r="I250" s="314">
        <f>SUM(I251:I255)</f>
        <v>0</v>
      </c>
      <c r="J250" s="314">
        <f t="shared" si="39"/>
        <v>0</v>
      </c>
      <c r="K250" s="316">
        <f>SUM(K251:K255)</f>
        <v>0</v>
      </c>
      <c r="L250" s="314">
        <f>SUM(L251:L255)</f>
        <v>0</v>
      </c>
    </row>
    <row r="251" spans="1:12" ht="11.25" customHeight="1" x14ac:dyDescent="0.2">
      <c r="A251" s="87" t="s">
        <v>436</v>
      </c>
      <c r="B251" s="314"/>
      <c r="C251" s="314"/>
      <c r="D251" s="314"/>
      <c r="E251" s="314"/>
      <c r="F251" s="314">
        <f t="shared" si="38"/>
        <v>0</v>
      </c>
      <c r="G251" s="314">
        <f>C251-E251</f>
        <v>0</v>
      </c>
      <c r="H251" s="314"/>
      <c r="I251" s="314"/>
      <c r="J251" s="314">
        <f t="shared" si="39"/>
        <v>0</v>
      </c>
      <c r="K251" s="316">
        <f>C251-I251</f>
        <v>0</v>
      </c>
      <c r="L251" s="314"/>
    </row>
    <row r="252" spans="1:12" ht="11.25" customHeight="1" x14ac:dyDescent="0.2">
      <c r="A252" s="87" t="s">
        <v>437</v>
      </c>
      <c r="B252" s="314"/>
      <c r="C252" s="314"/>
      <c r="D252" s="314"/>
      <c r="E252" s="314"/>
      <c r="F252" s="314">
        <f t="shared" si="38"/>
        <v>0</v>
      </c>
      <c r="G252" s="314">
        <f>C252-E252</f>
        <v>0</v>
      </c>
      <c r="H252" s="314"/>
      <c r="I252" s="314"/>
      <c r="J252" s="314">
        <f t="shared" si="39"/>
        <v>0</v>
      </c>
      <c r="K252" s="316">
        <f>C252-I252</f>
        <v>0</v>
      </c>
      <c r="L252" s="314"/>
    </row>
    <row r="253" spans="1:12" ht="11.25" customHeight="1" x14ac:dyDescent="0.2">
      <c r="A253" s="87" t="s">
        <v>438</v>
      </c>
      <c r="B253" s="314"/>
      <c r="C253" s="314"/>
      <c r="D253" s="314"/>
      <c r="E253" s="314"/>
      <c r="F253" s="314">
        <f t="shared" ref="F253:F284" si="42">IF($E$213&gt;0,E253/$E$213,0)*100</f>
        <v>0</v>
      </c>
      <c r="G253" s="314">
        <f>C253-E253</f>
        <v>0</v>
      </c>
      <c r="H253" s="314"/>
      <c r="I253" s="314"/>
      <c r="J253" s="314">
        <f t="shared" ref="J253:J284" si="43">IF($I$213&gt;0,I253/$I$213,0)*100</f>
        <v>0</v>
      </c>
      <c r="K253" s="316">
        <f>C253-I253</f>
        <v>0</v>
      </c>
      <c r="L253" s="314"/>
    </row>
    <row r="254" spans="1:12" ht="11.25" customHeight="1" x14ac:dyDescent="0.2">
      <c r="A254" s="87" t="s">
        <v>426</v>
      </c>
      <c r="B254" s="314"/>
      <c r="C254" s="314"/>
      <c r="D254" s="314"/>
      <c r="E254" s="314"/>
      <c r="F254" s="314">
        <f t="shared" si="42"/>
        <v>0</v>
      </c>
      <c r="G254" s="314">
        <f>C254-E254</f>
        <v>0</v>
      </c>
      <c r="H254" s="314"/>
      <c r="I254" s="314"/>
      <c r="J254" s="314">
        <f t="shared" si="43"/>
        <v>0</v>
      </c>
      <c r="K254" s="316">
        <f>C254-I254</f>
        <v>0</v>
      </c>
      <c r="L254" s="314"/>
    </row>
    <row r="255" spans="1:12" ht="11.25" customHeight="1" x14ac:dyDescent="0.2">
      <c r="A255" s="87" t="s">
        <v>420</v>
      </c>
      <c r="B255" s="314"/>
      <c r="C255" s="314"/>
      <c r="D255" s="314"/>
      <c r="E255" s="314"/>
      <c r="F255" s="314">
        <f t="shared" si="42"/>
        <v>0</v>
      </c>
      <c r="G255" s="314">
        <f>C255-E255</f>
        <v>0</v>
      </c>
      <c r="H255" s="314"/>
      <c r="I255" s="314"/>
      <c r="J255" s="314">
        <f t="shared" si="43"/>
        <v>0</v>
      </c>
      <c r="K255" s="316">
        <f>C255-I255</f>
        <v>0</v>
      </c>
      <c r="L255" s="314"/>
    </row>
    <row r="256" spans="1:12" ht="11.25" customHeight="1" x14ac:dyDescent="0.2">
      <c r="A256" s="54" t="s">
        <v>281</v>
      </c>
      <c r="B256" s="314">
        <f>SUM(B257:B261)</f>
        <v>6510000</v>
      </c>
      <c r="C256" s="314">
        <f>SUM(C257:C261)</f>
        <v>6860000</v>
      </c>
      <c r="D256" s="314">
        <f>SUM(D257:D261)</f>
        <v>1585760.23</v>
      </c>
      <c r="E256" s="314">
        <f>SUM(E257:E261)</f>
        <v>6806469.0599999996</v>
      </c>
      <c r="F256" s="314">
        <f t="shared" si="42"/>
        <v>0.55040323526243973</v>
      </c>
      <c r="G256" s="314">
        <f>SUM(G257:G261)</f>
        <v>53530.94000000041</v>
      </c>
      <c r="H256" s="314">
        <f>SUM(H257:H261)</f>
        <v>1586848.23</v>
      </c>
      <c r="I256" s="314">
        <f>SUM(I257:I261)</f>
        <v>6806053.0599999996</v>
      </c>
      <c r="J256" s="314">
        <f t="shared" si="43"/>
        <v>0.58323604538128715</v>
      </c>
      <c r="K256" s="316">
        <f>SUM(K257:K261)</f>
        <v>53946.94000000041</v>
      </c>
      <c r="L256" s="314">
        <f>SUM(L257:L261)</f>
        <v>416</v>
      </c>
    </row>
    <row r="257" spans="1:12" ht="11.25" customHeight="1" x14ac:dyDescent="0.2">
      <c r="A257" s="87" t="s">
        <v>439</v>
      </c>
      <c r="B257" s="314"/>
      <c r="C257" s="314"/>
      <c r="D257" s="314"/>
      <c r="E257" s="314"/>
      <c r="F257" s="314">
        <f t="shared" si="42"/>
        <v>0</v>
      </c>
      <c r="G257" s="314">
        <f>C257-E257</f>
        <v>0</v>
      </c>
      <c r="H257" s="314"/>
      <c r="I257" s="314"/>
      <c r="J257" s="314">
        <f t="shared" si="43"/>
        <v>0</v>
      </c>
      <c r="K257" s="316">
        <f>C257-I257</f>
        <v>0</v>
      </c>
      <c r="L257" s="314"/>
    </row>
    <row r="258" spans="1:12" ht="11.25" customHeight="1" x14ac:dyDescent="0.2">
      <c r="A258" s="87" t="s">
        <v>440</v>
      </c>
      <c r="B258" s="314">
        <v>6510000</v>
      </c>
      <c r="C258" s="314">
        <v>6860000</v>
      </c>
      <c r="D258" s="314">
        <v>1585760.23</v>
      </c>
      <c r="E258" s="314">
        <v>6806469.0599999996</v>
      </c>
      <c r="F258" s="314">
        <f t="shared" si="42"/>
        <v>0.55040323526243973</v>
      </c>
      <c r="G258" s="314">
        <f>C258-E258</f>
        <v>53530.94000000041</v>
      </c>
      <c r="H258" s="314">
        <v>1586848.23</v>
      </c>
      <c r="I258" s="314">
        <v>6806053.0599999996</v>
      </c>
      <c r="J258" s="314">
        <f t="shared" si="43"/>
        <v>0.58323604538128715</v>
      </c>
      <c r="K258" s="316">
        <f>C258-I258</f>
        <v>53946.94000000041</v>
      </c>
      <c r="L258" s="314">
        <v>416</v>
      </c>
    </row>
    <row r="259" spans="1:12" ht="11.25" customHeight="1" x14ac:dyDescent="0.2">
      <c r="A259" s="87" t="s">
        <v>441</v>
      </c>
      <c r="B259" s="314"/>
      <c r="C259" s="314"/>
      <c r="D259" s="314"/>
      <c r="E259" s="314"/>
      <c r="F259" s="314">
        <f t="shared" si="42"/>
        <v>0</v>
      </c>
      <c r="G259" s="314">
        <f>C259-E259</f>
        <v>0</v>
      </c>
      <c r="H259" s="314"/>
      <c r="I259" s="314"/>
      <c r="J259" s="314">
        <f t="shared" si="43"/>
        <v>0</v>
      </c>
      <c r="K259" s="316">
        <f>C259-I259</f>
        <v>0</v>
      </c>
      <c r="L259" s="314"/>
    </row>
    <row r="260" spans="1:12" ht="11.25" customHeight="1" x14ac:dyDescent="0.2">
      <c r="A260" s="87" t="s">
        <v>426</v>
      </c>
      <c r="B260" s="314"/>
      <c r="C260" s="314"/>
      <c r="D260" s="314"/>
      <c r="E260" s="314"/>
      <c r="F260" s="314">
        <f t="shared" si="42"/>
        <v>0</v>
      </c>
      <c r="G260" s="314">
        <f>C260-E260</f>
        <v>0</v>
      </c>
      <c r="H260" s="314"/>
      <c r="I260" s="314"/>
      <c r="J260" s="314">
        <f t="shared" si="43"/>
        <v>0</v>
      </c>
      <c r="K260" s="316">
        <f>C260-I260</f>
        <v>0</v>
      </c>
      <c r="L260" s="314"/>
    </row>
    <row r="261" spans="1:12" ht="11.25" customHeight="1" x14ac:dyDescent="0.2">
      <c r="A261" s="87" t="s">
        <v>420</v>
      </c>
      <c r="B261" s="314"/>
      <c r="C261" s="314"/>
      <c r="D261" s="314"/>
      <c r="E261" s="314"/>
      <c r="F261" s="314">
        <f t="shared" si="42"/>
        <v>0</v>
      </c>
      <c r="G261" s="314">
        <f>C261-E261</f>
        <v>0</v>
      </c>
      <c r="H261" s="314"/>
      <c r="I261" s="314"/>
      <c r="J261" s="314">
        <f t="shared" si="43"/>
        <v>0</v>
      </c>
      <c r="K261" s="316">
        <f>C261-I261</f>
        <v>0</v>
      </c>
      <c r="L261" s="314"/>
    </row>
    <row r="262" spans="1:12" ht="11.25" customHeight="1" x14ac:dyDescent="0.2">
      <c r="A262" s="54" t="s">
        <v>282</v>
      </c>
      <c r="B262" s="314">
        <f>SUM(B263:B266)</f>
        <v>0</v>
      </c>
      <c r="C262" s="314">
        <f>SUM(C263:C266)</f>
        <v>0</v>
      </c>
      <c r="D262" s="314">
        <f>SUM(D263:D266)</f>
        <v>0</v>
      </c>
      <c r="E262" s="314">
        <f>SUM(E263:E266)</f>
        <v>0</v>
      </c>
      <c r="F262" s="314">
        <f t="shared" si="42"/>
        <v>0</v>
      </c>
      <c r="G262" s="314">
        <f>SUM(G263:G266)</f>
        <v>0</v>
      </c>
      <c r="H262" s="314">
        <f>SUM(H263:H266)</f>
        <v>0</v>
      </c>
      <c r="I262" s="314">
        <f>SUM(I263:I266)</f>
        <v>0</v>
      </c>
      <c r="J262" s="314">
        <f t="shared" si="43"/>
        <v>0</v>
      </c>
      <c r="K262" s="316">
        <f>SUM(K263:K266)</f>
        <v>0</v>
      </c>
      <c r="L262" s="314">
        <f>SUM(L263:L266)</f>
        <v>0</v>
      </c>
    </row>
    <row r="263" spans="1:12" ht="11.25" customHeight="1" x14ac:dyDescent="0.2">
      <c r="A263" s="87" t="s">
        <v>442</v>
      </c>
      <c r="B263" s="314"/>
      <c r="C263" s="314"/>
      <c r="D263" s="314"/>
      <c r="E263" s="314"/>
      <c r="F263" s="314">
        <f t="shared" si="42"/>
        <v>0</v>
      </c>
      <c r="G263" s="314">
        <f>C263-E263</f>
        <v>0</v>
      </c>
      <c r="H263" s="314"/>
      <c r="I263" s="314"/>
      <c r="J263" s="314">
        <f t="shared" si="43"/>
        <v>0</v>
      </c>
      <c r="K263" s="316">
        <f>C263-I263</f>
        <v>0</v>
      </c>
      <c r="L263" s="314"/>
    </row>
    <row r="264" spans="1:12" ht="11.25" customHeight="1" x14ac:dyDescent="0.2">
      <c r="A264" s="87" t="s">
        <v>443</v>
      </c>
      <c r="B264" s="314"/>
      <c r="C264" s="314"/>
      <c r="D264" s="314"/>
      <c r="E264" s="314"/>
      <c r="F264" s="314">
        <f t="shared" si="42"/>
        <v>0</v>
      </c>
      <c r="G264" s="314">
        <f>C264-E264</f>
        <v>0</v>
      </c>
      <c r="H264" s="314"/>
      <c r="I264" s="314"/>
      <c r="J264" s="314">
        <f t="shared" si="43"/>
        <v>0</v>
      </c>
      <c r="K264" s="316">
        <f>C264-I264</f>
        <v>0</v>
      </c>
      <c r="L264" s="314"/>
    </row>
    <row r="265" spans="1:12" ht="11.25" customHeight="1" x14ac:dyDescent="0.2">
      <c r="A265" s="87" t="s">
        <v>426</v>
      </c>
      <c r="B265" s="314"/>
      <c r="C265" s="314"/>
      <c r="D265" s="314"/>
      <c r="E265" s="314"/>
      <c r="F265" s="314">
        <f t="shared" si="42"/>
        <v>0</v>
      </c>
      <c r="G265" s="314">
        <f>C265-E265</f>
        <v>0</v>
      </c>
      <c r="H265" s="314"/>
      <c r="I265" s="314"/>
      <c r="J265" s="314">
        <f t="shared" si="43"/>
        <v>0</v>
      </c>
      <c r="K265" s="316">
        <f>C265-I265</f>
        <v>0</v>
      </c>
      <c r="L265" s="314"/>
    </row>
    <row r="266" spans="1:12" ht="11.25" customHeight="1" x14ac:dyDescent="0.2">
      <c r="A266" s="87" t="s">
        <v>420</v>
      </c>
      <c r="B266" s="314"/>
      <c r="C266" s="314"/>
      <c r="D266" s="314"/>
      <c r="E266" s="314"/>
      <c r="F266" s="314">
        <f t="shared" si="42"/>
        <v>0</v>
      </c>
      <c r="G266" s="314">
        <f>C266-E266</f>
        <v>0</v>
      </c>
      <c r="H266" s="314"/>
      <c r="I266" s="314"/>
      <c r="J266" s="314">
        <f t="shared" si="43"/>
        <v>0</v>
      </c>
      <c r="K266" s="316">
        <f>C266-I266</f>
        <v>0</v>
      </c>
      <c r="L266" s="314"/>
    </row>
    <row r="267" spans="1:12" ht="11.25" customHeight="1" x14ac:dyDescent="0.2">
      <c r="A267" s="54" t="s">
        <v>283</v>
      </c>
      <c r="B267" s="314">
        <f>SUM(B268:B273)</f>
        <v>1870100</v>
      </c>
      <c r="C267" s="314">
        <f>SUM(C268:C273)</f>
        <v>2015100</v>
      </c>
      <c r="D267" s="314">
        <f>SUM(D268:D273)</f>
        <v>461608.95</v>
      </c>
      <c r="E267" s="314">
        <f>SUM(E268:E273)</f>
        <v>1976274.69</v>
      </c>
      <c r="F267" s="314">
        <f t="shared" si="42"/>
        <v>0.15981090541286838</v>
      </c>
      <c r="G267" s="314">
        <f>SUM(G268:G273)</f>
        <v>38825.310000000056</v>
      </c>
      <c r="H267" s="314">
        <f>SUM(H268:H273)</f>
        <v>462544.95</v>
      </c>
      <c r="I267" s="314">
        <f>SUM(I268:I273)</f>
        <v>1976110.69</v>
      </c>
      <c r="J267" s="314">
        <f t="shared" si="43"/>
        <v>0.16934028781598812</v>
      </c>
      <c r="K267" s="316">
        <f>SUM(K268:K273)</f>
        <v>38989.310000000056</v>
      </c>
      <c r="L267" s="314">
        <f>SUM(L268:L273)</f>
        <v>164</v>
      </c>
    </row>
    <row r="268" spans="1:12" ht="11.25" customHeight="1" x14ac:dyDescent="0.2">
      <c r="A268" s="87" t="s">
        <v>444</v>
      </c>
      <c r="B268" s="314"/>
      <c r="C268" s="314"/>
      <c r="D268" s="314"/>
      <c r="E268" s="314"/>
      <c r="F268" s="314">
        <f t="shared" si="42"/>
        <v>0</v>
      </c>
      <c r="G268" s="314">
        <f t="shared" ref="G268:G273" si="44">C268-E268</f>
        <v>0</v>
      </c>
      <c r="H268" s="314"/>
      <c r="I268" s="314"/>
      <c r="J268" s="314">
        <f t="shared" si="43"/>
        <v>0</v>
      </c>
      <c r="K268" s="316">
        <f t="shared" ref="K268:K273" si="45">C268-I268</f>
        <v>0</v>
      </c>
      <c r="L268" s="314"/>
    </row>
    <row r="269" spans="1:12" ht="11.25" customHeight="1" x14ac:dyDescent="0.2">
      <c r="A269" s="87" t="s">
        <v>445</v>
      </c>
      <c r="B269" s="314"/>
      <c r="C269" s="314"/>
      <c r="D269" s="314"/>
      <c r="E269" s="314"/>
      <c r="F269" s="314">
        <f t="shared" si="42"/>
        <v>0</v>
      </c>
      <c r="G269" s="314">
        <f t="shared" si="44"/>
        <v>0</v>
      </c>
      <c r="H269" s="314"/>
      <c r="I269" s="314"/>
      <c r="J269" s="314">
        <f t="shared" si="43"/>
        <v>0</v>
      </c>
      <c r="K269" s="316">
        <f t="shared" si="45"/>
        <v>0</v>
      </c>
      <c r="L269" s="314"/>
    </row>
    <row r="270" spans="1:12" ht="11.25" customHeight="1" x14ac:dyDescent="0.2">
      <c r="A270" s="87" t="s">
        <v>446</v>
      </c>
      <c r="B270" s="314"/>
      <c r="C270" s="314"/>
      <c r="D270" s="314"/>
      <c r="E270" s="314"/>
      <c r="F270" s="314">
        <f t="shared" si="42"/>
        <v>0</v>
      </c>
      <c r="G270" s="314">
        <f t="shared" si="44"/>
        <v>0</v>
      </c>
      <c r="H270" s="314"/>
      <c r="I270" s="314"/>
      <c r="J270" s="314">
        <f t="shared" si="43"/>
        <v>0</v>
      </c>
      <c r="K270" s="316">
        <f t="shared" si="45"/>
        <v>0</v>
      </c>
      <c r="L270" s="314"/>
    </row>
    <row r="271" spans="1:12" ht="11.25" customHeight="1" x14ac:dyDescent="0.2">
      <c r="A271" s="87" t="s">
        <v>447</v>
      </c>
      <c r="B271" s="314">
        <v>1870100</v>
      </c>
      <c r="C271" s="314">
        <v>2015100</v>
      </c>
      <c r="D271" s="314">
        <v>461608.95</v>
      </c>
      <c r="E271" s="314">
        <v>1976274.69</v>
      </c>
      <c r="F271" s="314">
        <f t="shared" si="42"/>
        <v>0.15981090541286838</v>
      </c>
      <c r="G271" s="314">
        <f t="shared" si="44"/>
        <v>38825.310000000056</v>
      </c>
      <c r="H271" s="314">
        <v>462544.95</v>
      </c>
      <c r="I271" s="314">
        <v>1976110.69</v>
      </c>
      <c r="J271" s="314">
        <f t="shared" si="43"/>
        <v>0.16934028781598812</v>
      </c>
      <c r="K271" s="316">
        <f t="shared" si="45"/>
        <v>38989.310000000056</v>
      </c>
      <c r="L271" s="314">
        <v>164</v>
      </c>
    </row>
    <row r="272" spans="1:12" ht="11.25" customHeight="1" x14ac:dyDescent="0.2">
      <c r="A272" s="87" t="s">
        <v>426</v>
      </c>
      <c r="B272" s="314"/>
      <c r="C272" s="314"/>
      <c r="D272" s="314"/>
      <c r="E272" s="314"/>
      <c r="F272" s="314">
        <f t="shared" si="42"/>
        <v>0</v>
      </c>
      <c r="G272" s="314">
        <f t="shared" si="44"/>
        <v>0</v>
      </c>
      <c r="H272" s="314"/>
      <c r="I272" s="314"/>
      <c r="J272" s="314">
        <f t="shared" si="43"/>
        <v>0</v>
      </c>
      <c r="K272" s="316">
        <f t="shared" si="45"/>
        <v>0</v>
      </c>
      <c r="L272" s="314"/>
    </row>
    <row r="273" spans="1:12" ht="11.25" customHeight="1" x14ac:dyDescent="0.2">
      <c r="A273" s="87" t="s">
        <v>420</v>
      </c>
      <c r="B273" s="314"/>
      <c r="C273" s="314"/>
      <c r="D273" s="314"/>
      <c r="E273" s="314"/>
      <c r="F273" s="314">
        <f t="shared" si="42"/>
        <v>0</v>
      </c>
      <c r="G273" s="314">
        <f t="shared" si="44"/>
        <v>0</v>
      </c>
      <c r="H273" s="314"/>
      <c r="I273" s="314"/>
      <c r="J273" s="314">
        <f t="shared" si="43"/>
        <v>0</v>
      </c>
      <c r="K273" s="316">
        <f t="shared" si="45"/>
        <v>0</v>
      </c>
      <c r="L273" s="314"/>
    </row>
    <row r="274" spans="1:12" ht="11.25" customHeight="1" x14ac:dyDescent="0.2">
      <c r="A274" s="54" t="s">
        <v>284</v>
      </c>
      <c r="B274" s="314">
        <f>SUM(B275:B280)</f>
        <v>410000</v>
      </c>
      <c r="C274" s="314">
        <f>SUM(C275:C280)</f>
        <v>420000</v>
      </c>
      <c r="D274" s="314">
        <f>SUM(D275:D280)</f>
        <v>86023.2</v>
      </c>
      <c r="E274" s="314">
        <f>SUM(E275:E280)</f>
        <v>387675.84</v>
      </c>
      <c r="F274" s="314">
        <f t="shared" si="42"/>
        <v>3.1349299422083018E-2</v>
      </c>
      <c r="G274" s="314">
        <f>SUM(G275:G280)</f>
        <v>32324.159999999974</v>
      </c>
      <c r="H274" s="314">
        <f>SUM(H275:H280)</f>
        <v>88878.85</v>
      </c>
      <c r="I274" s="314">
        <f>SUM(I275:I280)</f>
        <v>387675.84</v>
      </c>
      <c r="J274" s="314">
        <f t="shared" si="43"/>
        <v>3.3221387170829467E-2</v>
      </c>
      <c r="K274" s="316">
        <f>SUM(K275:K280)</f>
        <v>32324.159999999974</v>
      </c>
      <c r="L274" s="314">
        <f>SUM(L275:L280)</f>
        <v>0</v>
      </c>
    </row>
    <row r="275" spans="1:12" ht="11.25" customHeight="1" x14ac:dyDescent="0.2">
      <c r="A275" s="87" t="s">
        <v>448</v>
      </c>
      <c r="B275" s="314"/>
      <c r="C275" s="314"/>
      <c r="D275" s="314"/>
      <c r="E275" s="314"/>
      <c r="F275" s="314">
        <f t="shared" si="42"/>
        <v>0</v>
      </c>
      <c r="G275" s="314">
        <f t="shared" ref="G275:G280" si="46">C275-E275</f>
        <v>0</v>
      </c>
      <c r="H275" s="314"/>
      <c r="I275" s="314"/>
      <c r="J275" s="314">
        <f t="shared" si="43"/>
        <v>0</v>
      </c>
      <c r="K275" s="316">
        <f t="shared" ref="K275:K280" si="47">C275-I275</f>
        <v>0</v>
      </c>
      <c r="L275" s="314"/>
    </row>
    <row r="276" spans="1:12" ht="11.25" customHeight="1" x14ac:dyDescent="0.2">
      <c r="A276" s="87" t="s">
        <v>449</v>
      </c>
      <c r="B276" s="314">
        <v>410000</v>
      </c>
      <c r="C276" s="314">
        <v>420000</v>
      </c>
      <c r="D276" s="314">
        <v>86023.2</v>
      </c>
      <c r="E276" s="314">
        <v>387675.84</v>
      </c>
      <c r="F276" s="314">
        <f t="shared" si="42"/>
        <v>3.1349299422083018E-2</v>
      </c>
      <c r="G276" s="314">
        <f t="shared" si="46"/>
        <v>32324.159999999974</v>
      </c>
      <c r="H276" s="314">
        <v>88878.85</v>
      </c>
      <c r="I276" s="314">
        <v>387675.84</v>
      </c>
      <c r="J276" s="314">
        <f t="shared" si="43"/>
        <v>3.3221387170829467E-2</v>
      </c>
      <c r="K276" s="316">
        <f t="shared" si="47"/>
        <v>32324.159999999974</v>
      </c>
      <c r="L276" s="314">
        <v>0</v>
      </c>
    </row>
    <row r="277" spans="1:12" ht="11.25" customHeight="1" x14ac:dyDescent="0.2">
      <c r="A277" s="87" t="s">
        <v>450</v>
      </c>
      <c r="B277" s="314"/>
      <c r="C277" s="314"/>
      <c r="D277" s="314"/>
      <c r="E277" s="314"/>
      <c r="F277" s="314">
        <f t="shared" si="42"/>
        <v>0</v>
      </c>
      <c r="G277" s="314">
        <f t="shared" si="46"/>
        <v>0</v>
      </c>
      <c r="H277" s="314"/>
      <c r="I277" s="314"/>
      <c r="J277" s="314">
        <f t="shared" si="43"/>
        <v>0</v>
      </c>
      <c r="K277" s="316">
        <f t="shared" si="47"/>
        <v>0</v>
      </c>
      <c r="L277" s="314"/>
    </row>
    <row r="278" spans="1:12" ht="11.25" customHeight="1" x14ac:dyDescent="0.2">
      <c r="A278" s="87" t="s">
        <v>451</v>
      </c>
      <c r="B278" s="314"/>
      <c r="C278" s="314"/>
      <c r="D278" s="314"/>
      <c r="E278" s="314"/>
      <c r="F278" s="314">
        <f t="shared" si="42"/>
        <v>0</v>
      </c>
      <c r="G278" s="314">
        <f t="shared" si="46"/>
        <v>0</v>
      </c>
      <c r="H278" s="314"/>
      <c r="I278" s="314"/>
      <c r="J278" s="314">
        <f t="shared" si="43"/>
        <v>0</v>
      </c>
      <c r="K278" s="316">
        <f t="shared" si="47"/>
        <v>0</v>
      </c>
      <c r="L278" s="314"/>
    </row>
    <row r="279" spans="1:12" ht="11.25" customHeight="1" x14ac:dyDescent="0.2">
      <c r="A279" s="87" t="s">
        <v>426</v>
      </c>
      <c r="B279" s="314"/>
      <c r="C279" s="314"/>
      <c r="D279" s="314"/>
      <c r="E279" s="314"/>
      <c r="F279" s="314">
        <f t="shared" si="42"/>
        <v>0</v>
      </c>
      <c r="G279" s="314">
        <f t="shared" si="46"/>
        <v>0</v>
      </c>
      <c r="H279" s="314"/>
      <c r="I279" s="314"/>
      <c r="J279" s="314">
        <f t="shared" si="43"/>
        <v>0</v>
      </c>
      <c r="K279" s="316">
        <f t="shared" si="47"/>
        <v>0</v>
      </c>
      <c r="L279" s="314"/>
    </row>
    <row r="280" spans="1:12" ht="11.25" customHeight="1" x14ac:dyDescent="0.2">
      <c r="A280" s="87" t="s">
        <v>420</v>
      </c>
      <c r="B280" s="314"/>
      <c r="C280" s="314"/>
      <c r="D280" s="314"/>
      <c r="E280" s="314"/>
      <c r="F280" s="314">
        <f t="shared" si="42"/>
        <v>0</v>
      </c>
      <c r="G280" s="314">
        <f t="shared" si="46"/>
        <v>0</v>
      </c>
      <c r="H280" s="314"/>
      <c r="I280" s="314"/>
      <c r="J280" s="314">
        <f t="shared" si="43"/>
        <v>0</v>
      </c>
      <c r="K280" s="316">
        <f t="shared" si="47"/>
        <v>0</v>
      </c>
      <c r="L280" s="314"/>
    </row>
    <row r="281" spans="1:12" ht="11.25" customHeight="1" x14ac:dyDescent="0.2">
      <c r="A281" s="54" t="s">
        <v>285</v>
      </c>
      <c r="B281" s="314">
        <f>SUM(B282:B289)</f>
        <v>22092500</v>
      </c>
      <c r="C281" s="314">
        <f>SUM(C282:C289)</f>
        <v>27132500</v>
      </c>
      <c r="D281" s="314">
        <f>SUM(D282:D289)</f>
        <v>6343562.1600000001</v>
      </c>
      <c r="E281" s="314">
        <f>SUM(E282:E289)</f>
        <v>26828218.949999996</v>
      </c>
      <c r="F281" s="314">
        <f t="shared" si="42"/>
        <v>2.1694564944381147</v>
      </c>
      <c r="G281" s="314">
        <f>SUM(G282:G289)</f>
        <v>304281.0500000004</v>
      </c>
      <c r="H281" s="314">
        <f>SUM(H282:H289)</f>
        <v>6502882.3799999999</v>
      </c>
      <c r="I281" s="314">
        <f>SUM(I282:I289)</f>
        <v>26760997.269999996</v>
      </c>
      <c r="J281" s="314">
        <f t="shared" si="43"/>
        <v>2.2932495648534101</v>
      </c>
      <c r="K281" s="316">
        <f>SUM(K282:K289)</f>
        <v>371502.7300000001</v>
      </c>
      <c r="L281" s="314">
        <f>SUM(L282:L289)</f>
        <v>67221.679999999993</v>
      </c>
    </row>
    <row r="282" spans="1:12" ht="11.25" customHeight="1" x14ac:dyDescent="0.2">
      <c r="A282" s="87" t="s">
        <v>224</v>
      </c>
      <c r="B282" s="314">
        <v>7527000</v>
      </c>
      <c r="C282" s="314">
        <v>8907000</v>
      </c>
      <c r="D282" s="314">
        <v>2176711.2400000002</v>
      </c>
      <c r="E282" s="314">
        <v>8875704.2799999993</v>
      </c>
      <c r="F282" s="314">
        <f t="shared" si="42"/>
        <v>0.71773136818529559</v>
      </c>
      <c r="G282" s="314">
        <f t="shared" ref="G282:G289" si="48">C282-E282</f>
        <v>31295.720000000671</v>
      </c>
      <c r="H282" s="314">
        <v>2176711.2400000002</v>
      </c>
      <c r="I282" s="314">
        <v>8875704.2799999993</v>
      </c>
      <c r="J282" s="314">
        <f t="shared" si="43"/>
        <v>0.76059216973559196</v>
      </c>
      <c r="K282" s="316">
        <f t="shared" ref="K282:K289" si="49">C282-I282</f>
        <v>31295.720000000671</v>
      </c>
      <c r="L282" s="314">
        <v>0</v>
      </c>
    </row>
    <row r="283" spans="1:12" ht="11.25" customHeight="1" x14ac:dyDescent="0.2">
      <c r="A283" s="87" t="s">
        <v>225</v>
      </c>
      <c r="B283" s="314">
        <v>11304000</v>
      </c>
      <c r="C283" s="314">
        <v>14074000</v>
      </c>
      <c r="D283" s="314">
        <v>3334627.58</v>
      </c>
      <c r="E283" s="314">
        <v>13889300.48</v>
      </c>
      <c r="F283" s="314">
        <f t="shared" si="42"/>
        <v>1.1231544362186754</v>
      </c>
      <c r="G283" s="314">
        <f t="shared" si="48"/>
        <v>184699.51999999955</v>
      </c>
      <c r="H283" s="314">
        <v>3334627.58</v>
      </c>
      <c r="I283" s="314">
        <v>13889300.48</v>
      </c>
      <c r="J283" s="314">
        <f t="shared" si="43"/>
        <v>1.1902259082693096</v>
      </c>
      <c r="K283" s="316">
        <f t="shared" si="49"/>
        <v>184699.51999999955</v>
      </c>
      <c r="L283" s="314">
        <v>0</v>
      </c>
    </row>
    <row r="284" spans="1:12" ht="11.25" customHeight="1" x14ac:dyDescent="0.2">
      <c r="A284" s="87" t="s">
        <v>226</v>
      </c>
      <c r="B284" s="314">
        <v>431000</v>
      </c>
      <c r="C284" s="314">
        <v>481000</v>
      </c>
      <c r="D284" s="314">
        <v>111687.85</v>
      </c>
      <c r="E284" s="314">
        <v>474278.98</v>
      </c>
      <c r="F284" s="314">
        <f t="shared" si="42"/>
        <v>3.8352438350607879E-2</v>
      </c>
      <c r="G284" s="314">
        <f t="shared" si="48"/>
        <v>6721.0200000000186</v>
      </c>
      <c r="H284" s="314">
        <v>111687.85</v>
      </c>
      <c r="I284" s="314">
        <v>474278.98</v>
      </c>
      <c r="J284" s="314">
        <f t="shared" si="43"/>
        <v>4.0642732912027961E-2</v>
      </c>
      <c r="K284" s="316">
        <f t="shared" si="49"/>
        <v>6721.0200000000186</v>
      </c>
      <c r="L284" s="314">
        <v>0</v>
      </c>
    </row>
    <row r="285" spans="1:12" ht="11.25" customHeight="1" x14ac:dyDescent="0.2">
      <c r="A285" s="87" t="s">
        <v>227</v>
      </c>
      <c r="B285" s="314">
        <v>530500</v>
      </c>
      <c r="C285" s="314">
        <v>590500</v>
      </c>
      <c r="D285" s="314">
        <v>139167.78</v>
      </c>
      <c r="E285" s="314">
        <v>574546.15</v>
      </c>
      <c r="F285" s="314">
        <f t="shared" ref="F285:F316" si="50">IF($E$213&gt;0,E285/$E$213,0)*100</f>
        <v>4.6460515280382246E-2</v>
      </c>
      <c r="G285" s="314">
        <f t="shared" si="48"/>
        <v>15953.849999999977</v>
      </c>
      <c r="H285" s="314">
        <v>139167.78</v>
      </c>
      <c r="I285" s="314">
        <v>574546.15</v>
      </c>
      <c r="J285" s="314">
        <f t="shared" ref="J285:J316" si="51">IF($I$213&gt;0,I285/$I$213,0)*100</f>
        <v>4.9235000294729388E-2</v>
      </c>
      <c r="K285" s="316">
        <f t="shared" si="49"/>
        <v>15953.849999999977</v>
      </c>
      <c r="L285" s="314">
        <v>0</v>
      </c>
    </row>
    <row r="286" spans="1:12" ht="11.25" customHeight="1" x14ac:dyDescent="0.2">
      <c r="A286" s="87" t="s">
        <v>228</v>
      </c>
      <c r="B286" s="314">
        <v>622000</v>
      </c>
      <c r="C286" s="314">
        <v>757000</v>
      </c>
      <c r="D286" s="314">
        <v>173971.8</v>
      </c>
      <c r="E286" s="314">
        <v>736249.95</v>
      </c>
      <c r="F286" s="314">
        <f t="shared" si="50"/>
        <v>5.9536648278220403E-2</v>
      </c>
      <c r="G286" s="314">
        <f t="shared" si="48"/>
        <v>20750.050000000047</v>
      </c>
      <c r="H286" s="314">
        <v>173971.8</v>
      </c>
      <c r="I286" s="314">
        <v>736249.95</v>
      </c>
      <c r="J286" s="314">
        <f t="shared" si="51"/>
        <v>6.3092001408841566E-2</v>
      </c>
      <c r="K286" s="316">
        <f t="shared" si="49"/>
        <v>20750.050000000047</v>
      </c>
      <c r="L286" s="314">
        <v>0</v>
      </c>
    </row>
    <row r="287" spans="1:12" ht="11.25" customHeight="1" x14ac:dyDescent="0.2">
      <c r="A287" s="87" t="s">
        <v>229</v>
      </c>
      <c r="B287" s="314"/>
      <c r="C287" s="314"/>
      <c r="D287" s="314"/>
      <c r="E287" s="314"/>
      <c r="F287" s="314">
        <f t="shared" si="50"/>
        <v>0</v>
      </c>
      <c r="G287" s="314">
        <f t="shared" si="48"/>
        <v>0</v>
      </c>
      <c r="H287" s="314"/>
      <c r="I287" s="314"/>
      <c r="J287" s="314">
        <f t="shared" si="51"/>
        <v>0</v>
      </c>
      <c r="K287" s="316">
        <f t="shared" si="49"/>
        <v>0</v>
      </c>
      <c r="L287" s="314"/>
    </row>
    <row r="288" spans="1:12" ht="11.25" customHeight="1" x14ac:dyDescent="0.2">
      <c r="A288" s="87" t="s">
        <v>426</v>
      </c>
      <c r="B288" s="314">
        <v>1678000</v>
      </c>
      <c r="C288" s="314">
        <v>2323000</v>
      </c>
      <c r="D288" s="314">
        <v>407395.91</v>
      </c>
      <c r="E288" s="314">
        <v>2278139.11</v>
      </c>
      <c r="F288" s="314">
        <f t="shared" si="50"/>
        <v>0.18422108812493376</v>
      </c>
      <c r="G288" s="314">
        <f t="shared" si="48"/>
        <v>44860.89000000013</v>
      </c>
      <c r="H288" s="314">
        <v>566716.13</v>
      </c>
      <c r="I288" s="314">
        <v>2210917.4300000002</v>
      </c>
      <c r="J288" s="314">
        <f t="shared" si="51"/>
        <v>0.18946175223291001</v>
      </c>
      <c r="K288" s="316">
        <f t="shared" si="49"/>
        <v>112082.56999999983</v>
      </c>
      <c r="L288" s="314">
        <v>67221.679999999993</v>
      </c>
    </row>
    <row r="289" spans="1:12" ht="11.25" customHeight="1" x14ac:dyDescent="0.2">
      <c r="A289" s="87" t="s">
        <v>420</v>
      </c>
      <c r="B289" s="314"/>
      <c r="C289" s="314"/>
      <c r="D289" s="314"/>
      <c r="E289" s="314"/>
      <c r="F289" s="314">
        <f t="shared" si="50"/>
        <v>0</v>
      </c>
      <c r="G289" s="314">
        <f t="shared" si="48"/>
        <v>0</v>
      </c>
      <c r="H289" s="314"/>
      <c r="I289" s="314"/>
      <c r="J289" s="314">
        <f t="shared" si="51"/>
        <v>0</v>
      </c>
      <c r="K289" s="316">
        <f t="shared" si="49"/>
        <v>0</v>
      </c>
      <c r="L289" s="314"/>
    </row>
    <row r="290" spans="1:12" ht="11.25" customHeight="1" x14ac:dyDescent="0.2">
      <c r="A290" s="54" t="s">
        <v>286</v>
      </c>
      <c r="B290" s="314">
        <f>SUM(B291:B296)</f>
        <v>0</v>
      </c>
      <c r="C290" s="314">
        <f>SUM(C291:C296)</f>
        <v>0</v>
      </c>
      <c r="D290" s="314">
        <f>SUM(D291:D296)</f>
        <v>0</v>
      </c>
      <c r="E290" s="314">
        <f>SUM(E291:E296)</f>
        <v>0</v>
      </c>
      <c r="F290" s="314">
        <f t="shared" si="50"/>
        <v>0</v>
      </c>
      <c r="G290" s="314">
        <f>SUM(G291:G296)</f>
        <v>0</v>
      </c>
      <c r="H290" s="314">
        <f>SUM(H291:H296)</f>
        <v>0</v>
      </c>
      <c r="I290" s="314">
        <f>SUM(I291:I296)</f>
        <v>0</v>
      </c>
      <c r="J290" s="314">
        <f t="shared" si="51"/>
        <v>0</v>
      </c>
      <c r="K290" s="316">
        <f>SUM(K291:K296)</f>
        <v>0</v>
      </c>
      <c r="L290" s="314">
        <f>SUM(L291:L296)</f>
        <v>0</v>
      </c>
    </row>
    <row r="291" spans="1:12" ht="11.25" customHeight="1" x14ac:dyDescent="0.2">
      <c r="A291" s="87" t="s">
        <v>452</v>
      </c>
      <c r="B291" s="314"/>
      <c r="C291" s="314"/>
      <c r="D291" s="314"/>
      <c r="E291" s="314"/>
      <c r="F291" s="314">
        <f t="shared" si="50"/>
        <v>0</v>
      </c>
      <c r="G291" s="314">
        <f t="shared" ref="G291:G296" si="52">C291-E291</f>
        <v>0</v>
      </c>
      <c r="H291" s="314"/>
      <c r="I291" s="314"/>
      <c r="J291" s="314">
        <f t="shared" si="51"/>
        <v>0</v>
      </c>
      <c r="K291" s="316">
        <f t="shared" ref="K291:K296" si="53">C291-I291</f>
        <v>0</v>
      </c>
      <c r="L291" s="314"/>
    </row>
    <row r="292" spans="1:12" ht="11.25" customHeight="1" x14ac:dyDescent="0.2">
      <c r="A292" s="87" t="s">
        <v>453</v>
      </c>
      <c r="B292" s="314"/>
      <c r="C292" s="314"/>
      <c r="D292" s="314"/>
      <c r="E292" s="314"/>
      <c r="F292" s="314">
        <f t="shared" si="50"/>
        <v>0</v>
      </c>
      <c r="G292" s="314">
        <f t="shared" si="52"/>
        <v>0</v>
      </c>
      <c r="H292" s="314"/>
      <c r="I292" s="314"/>
      <c r="J292" s="314">
        <f t="shared" si="51"/>
        <v>0</v>
      </c>
      <c r="K292" s="316">
        <f t="shared" si="53"/>
        <v>0</v>
      </c>
      <c r="L292" s="314"/>
    </row>
    <row r="293" spans="1:12" ht="11.25" customHeight="1" x14ac:dyDescent="0.2">
      <c r="A293" s="87" t="s">
        <v>454</v>
      </c>
      <c r="B293" s="314"/>
      <c r="C293" s="314"/>
      <c r="D293" s="314"/>
      <c r="E293" s="314"/>
      <c r="F293" s="314">
        <f t="shared" si="50"/>
        <v>0</v>
      </c>
      <c r="G293" s="314">
        <f t="shared" si="52"/>
        <v>0</v>
      </c>
      <c r="H293" s="314"/>
      <c r="I293" s="314"/>
      <c r="J293" s="314">
        <f t="shared" si="51"/>
        <v>0</v>
      </c>
      <c r="K293" s="316">
        <f t="shared" si="53"/>
        <v>0</v>
      </c>
      <c r="L293" s="314"/>
    </row>
    <row r="294" spans="1:12" ht="11.25" customHeight="1" x14ac:dyDescent="0.2">
      <c r="A294" s="87" t="s">
        <v>455</v>
      </c>
      <c r="B294" s="314"/>
      <c r="C294" s="314"/>
      <c r="D294" s="314"/>
      <c r="E294" s="314"/>
      <c r="F294" s="314">
        <f t="shared" si="50"/>
        <v>0</v>
      </c>
      <c r="G294" s="314">
        <f t="shared" si="52"/>
        <v>0</v>
      </c>
      <c r="H294" s="314"/>
      <c r="I294" s="314"/>
      <c r="J294" s="314">
        <f t="shared" si="51"/>
        <v>0</v>
      </c>
      <c r="K294" s="316">
        <f t="shared" si="53"/>
        <v>0</v>
      </c>
      <c r="L294" s="314"/>
    </row>
    <row r="295" spans="1:12" ht="11.25" customHeight="1" x14ac:dyDescent="0.2">
      <c r="A295" s="87" t="s">
        <v>426</v>
      </c>
      <c r="B295" s="314"/>
      <c r="C295" s="314"/>
      <c r="D295" s="314"/>
      <c r="E295" s="314"/>
      <c r="F295" s="314">
        <f t="shared" si="50"/>
        <v>0</v>
      </c>
      <c r="G295" s="314">
        <f t="shared" si="52"/>
        <v>0</v>
      </c>
      <c r="H295" s="314"/>
      <c r="I295" s="314"/>
      <c r="J295" s="314">
        <f t="shared" si="51"/>
        <v>0</v>
      </c>
      <c r="K295" s="316">
        <f t="shared" si="53"/>
        <v>0</v>
      </c>
      <c r="L295" s="314"/>
    </row>
    <row r="296" spans="1:12" ht="11.25" customHeight="1" x14ac:dyDescent="0.2">
      <c r="A296" s="87" t="s">
        <v>420</v>
      </c>
      <c r="B296" s="314"/>
      <c r="C296" s="314"/>
      <c r="D296" s="314"/>
      <c r="E296" s="314"/>
      <c r="F296" s="314">
        <f t="shared" si="50"/>
        <v>0</v>
      </c>
      <c r="G296" s="314">
        <f t="shared" si="52"/>
        <v>0</v>
      </c>
      <c r="H296" s="314"/>
      <c r="I296" s="314"/>
      <c r="J296" s="314">
        <f t="shared" si="51"/>
        <v>0</v>
      </c>
      <c r="K296" s="316">
        <f t="shared" si="53"/>
        <v>0</v>
      </c>
      <c r="L296" s="314"/>
    </row>
    <row r="297" spans="1:12" ht="11.25" customHeight="1" x14ac:dyDescent="0.2">
      <c r="A297" s="54" t="s">
        <v>287</v>
      </c>
      <c r="B297" s="314">
        <f>SUM(B298:B307)</f>
        <v>32503000</v>
      </c>
      <c r="C297" s="314">
        <f>SUM(C298:C307)</f>
        <v>39849008.859999999</v>
      </c>
      <c r="D297" s="314">
        <f>SUM(D298:D307)</f>
        <v>8037101.3799999999</v>
      </c>
      <c r="E297" s="314">
        <f>SUM(E298:E307)</f>
        <v>38083540.950000003</v>
      </c>
      <c r="F297" s="314">
        <f t="shared" si="50"/>
        <v>3.0796149904381713</v>
      </c>
      <c r="G297" s="314">
        <f>SUM(G298:G307)</f>
        <v>1765467.9099999995</v>
      </c>
      <c r="H297" s="314">
        <f>SUM(H298:H307)</f>
        <v>8812656.7000000011</v>
      </c>
      <c r="I297" s="314">
        <f>SUM(I298:I307)</f>
        <v>37787058.969999999</v>
      </c>
      <c r="J297" s="314">
        <f t="shared" si="51"/>
        <v>3.2381138739244997</v>
      </c>
      <c r="K297" s="316">
        <f>SUM(K298:K307)</f>
        <v>2061949.8900000018</v>
      </c>
      <c r="L297" s="314">
        <f>SUM(L298:L307)</f>
        <v>296481.98</v>
      </c>
    </row>
    <row r="298" spans="1:12" ht="11.25" customHeight="1" x14ac:dyDescent="0.2">
      <c r="A298" s="87" t="s">
        <v>456</v>
      </c>
      <c r="B298" s="314">
        <v>18668000</v>
      </c>
      <c r="C298" s="314">
        <v>22124000</v>
      </c>
      <c r="D298" s="314">
        <v>4529558.16</v>
      </c>
      <c r="E298" s="314">
        <v>21151528.640000001</v>
      </c>
      <c r="F298" s="314">
        <f t="shared" si="50"/>
        <v>1.7104125048652101</v>
      </c>
      <c r="G298" s="314">
        <f t="shared" ref="G298:G307" si="54">C298-E298</f>
        <v>972471.3599999994</v>
      </c>
      <c r="H298" s="314">
        <v>4765854.33</v>
      </c>
      <c r="I298" s="314">
        <v>20918728.579999998</v>
      </c>
      <c r="J298" s="314">
        <f t="shared" si="51"/>
        <v>1.7926037931011531</v>
      </c>
      <c r="K298" s="316">
        <f t="shared" ref="K298:K307" si="55">C298-I298</f>
        <v>1205271.4200000018</v>
      </c>
      <c r="L298" s="314">
        <v>232800.06</v>
      </c>
    </row>
    <row r="299" spans="1:12" ht="11.25" customHeight="1" x14ac:dyDescent="0.2">
      <c r="A299" s="87" t="s">
        <v>457</v>
      </c>
      <c r="B299" s="314">
        <v>0</v>
      </c>
      <c r="C299" s="314">
        <v>8000</v>
      </c>
      <c r="D299" s="314">
        <v>-762.75</v>
      </c>
      <c r="E299" s="314">
        <v>7237.25</v>
      </c>
      <c r="F299" s="314">
        <f t="shared" si="50"/>
        <v>5.8523821665665396E-4</v>
      </c>
      <c r="G299" s="314">
        <f t="shared" si="54"/>
        <v>762.75</v>
      </c>
      <c r="H299" s="314">
        <v>7237.25</v>
      </c>
      <c r="I299" s="314">
        <v>7237.25</v>
      </c>
      <c r="J299" s="314">
        <f t="shared" si="51"/>
        <v>6.2018691776636269E-4</v>
      </c>
      <c r="K299" s="316">
        <f t="shared" si="55"/>
        <v>762.75</v>
      </c>
      <c r="L299" s="314">
        <v>0</v>
      </c>
    </row>
    <row r="300" spans="1:12" ht="11.25" customHeight="1" x14ac:dyDescent="0.2">
      <c r="A300" s="87" t="s">
        <v>458</v>
      </c>
      <c r="B300" s="314">
        <v>1042000</v>
      </c>
      <c r="C300" s="314">
        <v>2278508.86</v>
      </c>
      <c r="D300" s="314">
        <v>252045.54</v>
      </c>
      <c r="E300" s="314">
        <v>2206526.0299999998</v>
      </c>
      <c r="F300" s="314">
        <f t="shared" si="50"/>
        <v>0.17843011624632099</v>
      </c>
      <c r="G300" s="314">
        <f t="shared" si="54"/>
        <v>71982.830000000075</v>
      </c>
      <c r="H300" s="314">
        <v>629221.80000000005</v>
      </c>
      <c r="I300" s="314">
        <v>2206526.0299999998</v>
      </c>
      <c r="J300" s="314">
        <f t="shared" si="51"/>
        <v>0.18908543680499479</v>
      </c>
      <c r="K300" s="316">
        <f t="shared" si="55"/>
        <v>71982.830000000075</v>
      </c>
      <c r="L300" s="314">
        <v>0</v>
      </c>
    </row>
    <row r="301" spans="1:12" ht="11.25" customHeight="1" x14ac:dyDescent="0.2">
      <c r="A301" s="87" t="s">
        <v>459</v>
      </c>
      <c r="B301" s="314">
        <v>20000</v>
      </c>
      <c r="C301" s="314">
        <v>40000</v>
      </c>
      <c r="D301" s="314">
        <v>-6911.44</v>
      </c>
      <c r="E301" s="314">
        <v>18088.560000000001</v>
      </c>
      <c r="F301" s="314">
        <f t="shared" si="50"/>
        <v>1.4627263941810614E-3</v>
      </c>
      <c r="G301" s="314">
        <f t="shared" si="54"/>
        <v>21911.439999999999</v>
      </c>
      <c r="H301" s="314">
        <v>4921.84</v>
      </c>
      <c r="I301" s="314">
        <v>18088.560000000001</v>
      </c>
      <c r="J301" s="314">
        <f t="shared" si="51"/>
        <v>1.5500761025571755E-3</v>
      </c>
      <c r="K301" s="316">
        <f t="shared" si="55"/>
        <v>21911.439999999999</v>
      </c>
      <c r="L301" s="314">
        <v>0</v>
      </c>
    </row>
    <row r="302" spans="1:12" ht="11.25" customHeight="1" x14ac:dyDescent="0.2">
      <c r="A302" s="87" t="s">
        <v>460</v>
      </c>
      <c r="B302" s="314">
        <v>12648000</v>
      </c>
      <c r="C302" s="314">
        <v>15273500</v>
      </c>
      <c r="D302" s="314">
        <v>3243379.4</v>
      </c>
      <c r="E302" s="314">
        <v>14596403</v>
      </c>
      <c r="F302" s="314">
        <f t="shared" si="50"/>
        <v>1.1803340856432809</v>
      </c>
      <c r="G302" s="314">
        <f t="shared" si="54"/>
        <v>677097</v>
      </c>
      <c r="H302" s="314">
        <v>3385629.01</v>
      </c>
      <c r="I302" s="314">
        <v>14532721.08</v>
      </c>
      <c r="J302" s="314">
        <f t="shared" si="51"/>
        <v>1.2453630168038199</v>
      </c>
      <c r="K302" s="316">
        <f t="shared" si="55"/>
        <v>740778.91999999993</v>
      </c>
      <c r="L302" s="314">
        <v>63681.919999999998</v>
      </c>
    </row>
    <row r="303" spans="1:12" ht="11.25" customHeight="1" x14ac:dyDescent="0.2">
      <c r="A303" s="87" t="s">
        <v>461</v>
      </c>
      <c r="B303" s="314">
        <v>125000</v>
      </c>
      <c r="C303" s="314">
        <v>125000</v>
      </c>
      <c r="D303" s="314">
        <v>19792.47</v>
      </c>
      <c r="E303" s="314">
        <v>103757.47</v>
      </c>
      <c r="F303" s="314">
        <f t="shared" si="50"/>
        <v>8.3903190725215064E-3</v>
      </c>
      <c r="G303" s="314">
        <f t="shared" si="54"/>
        <v>21242.53</v>
      </c>
      <c r="H303" s="314">
        <v>19792.47</v>
      </c>
      <c r="I303" s="314">
        <v>103757.47</v>
      </c>
      <c r="J303" s="314">
        <f t="shared" si="51"/>
        <v>8.8913641942085508E-3</v>
      </c>
      <c r="K303" s="316">
        <f t="shared" si="55"/>
        <v>21242.53</v>
      </c>
      <c r="L303" s="314">
        <v>0</v>
      </c>
    </row>
    <row r="304" spans="1:12" ht="11.25" customHeight="1" x14ac:dyDescent="0.2">
      <c r="A304" s="87" t="s">
        <v>462</v>
      </c>
      <c r="B304" s="314"/>
      <c r="C304" s="314"/>
      <c r="D304" s="314"/>
      <c r="E304" s="314"/>
      <c r="F304" s="314">
        <f t="shared" si="50"/>
        <v>0</v>
      </c>
      <c r="G304" s="314">
        <f t="shared" si="54"/>
        <v>0</v>
      </c>
      <c r="H304" s="314"/>
      <c r="I304" s="314"/>
      <c r="J304" s="314">
        <f t="shared" si="51"/>
        <v>0</v>
      </c>
      <c r="K304" s="316">
        <f t="shared" si="55"/>
        <v>0</v>
      </c>
      <c r="L304" s="314"/>
    </row>
    <row r="305" spans="1:12" ht="11.25" customHeight="1" x14ac:dyDescent="0.2">
      <c r="A305" s="87" t="s">
        <v>710</v>
      </c>
      <c r="B305" s="314"/>
      <c r="C305" s="314"/>
      <c r="D305" s="314"/>
      <c r="E305" s="314"/>
      <c r="F305" s="314">
        <f t="shared" si="50"/>
        <v>0</v>
      </c>
      <c r="G305" s="314">
        <f t="shared" si="54"/>
        <v>0</v>
      </c>
      <c r="H305" s="314"/>
      <c r="I305" s="314"/>
      <c r="J305" s="314">
        <f t="shared" si="51"/>
        <v>0</v>
      </c>
      <c r="K305" s="316">
        <f t="shared" si="55"/>
        <v>0</v>
      </c>
      <c r="L305" s="314"/>
    </row>
    <row r="306" spans="1:12" ht="11.25" customHeight="1" x14ac:dyDescent="0.2">
      <c r="A306" s="87" t="s">
        <v>426</v>
      </c>
      <c r="B306" s="314"/>
      <c r="C306" s="314"/>
      <c r="D306" s="314"/>
      <c r="E306" s="314"/>
      <c r="F306" s="314">
        <f t="shared" si="50"/>
        <v>0</v>
      </c>
      <c r="G306" s="314">
        <f t="shared" si="54"/>
        <v>0</v>
      </c>
      <c r="H306" s="314"/>
      <c r="I306" s="314"/>
      <c r="J306" s="314">
        <f t="shared" si="51"/>
        <v>0</v>
      </c>
      <c r="K306" s="316">
        <f t="shared" si="55"/>
        <v>0</v>
      </c>
      <c r="L306" s="314"/>
    </row>
    <row r="307" spans="1:12" ht="11.25" customHeight="1" x14ac:dyDescent="0.2">
      <c r="A307" s="87" t="s">
        <v>420</v>
      </c>
      <c r="B307" s="314"/>
      <c r="C307" s="314"/>
      <c r="D307" s="314"/>
      <c r="E307" s="314"/>
      <c r="F307" s="314">
        <f t="shared" si="50"/>
        <v>0</v>
      </c>
      <c r="G307" s="314">
        <f t="shared" si="54"/>
        <v>0</v>
      </c>
      <c r="H307" s="314"/>
      <c r="I307" s="314"/>
      <c r="J307" s="314">
        <f t="shared" si="51"/>
        <v>0</v>
      </c>
      <c r="K307" s="316">
        <f t="shared" si="55"/>
        <v>0</v>
      </c>
      <c r="L307" s="314"/>
    </row>
    <row r="308" spans="1:12" ht="11.25" customHeight="1" x14ac:dyDescent="0.2">
      <c r="A308" s="54" t="s">
        <v>288</v>
      </c>
      <c r="B308" s="314">
        <f>SUM(B309:B312)</f>
        <v>831000</v>
      </c>
      <c r="C308" s="314">
        <f>SUM(C309:C312)</f>
        <v>1078000</v>
      </c>
      <c r="D308" s="314">
        <f>SUM(D309:D312)</f>
        <v>219200.79</v>
      </c>
      <c r="E308" s="314">
        <f>SUM(E309:E312)</f>
        <v>979129.76</v>
      </c>
      <c r="F308" s="314">
        <f t="shared" si="50"/>
        <v>7.9177056840354781E-2</v>
      </c>
      <c r="G308" s="314">
        <f>SUM(G309:G312)</f>
        <v>98870.239999999991</v>
      </c>
      <c r="H308" s="314">
        <f>SUM(H309:H312)</f>
        <v>253734.14</v>
      </c>
      <c r="I308" s="314">
        <f>SUM(I309:I312)</f>
        <v>979129.76</v>
      </c>
      <c r="J308" s="314">
        <f t="shared" si="51"/>
        <v>8.3905277273511117E-2</v>
      </c>
      <c r="K308" s="316">
        <f>SUM(K309:K312)</f>
        <v>98870.239999999991</v>
      </c>
      <c r="L308" s="314">
        <f>SUM(L309:L312)</f>
        <v>0</v>
      </c>
    </row>
    <row r="309" spans="1:12" ht="11.25" customHeight="1" x14ac:dyDescent="0.2">
      <c r="A309" s="87" t="s">
        <v>463</v>
      </c>
      <c r="B309" s="314">
        <v>261000</v>
      </c>
      <c r="C309" s="314">
        <v>433000</v>
      </c>
      <c r="D309" s="314">
        <v>74452.25</v>
      </c>
      <c r="E309" s="314">
        <v>337794.97</v>
      </c>
      <c r="F309" s="314">
        <f t="shared" si="50"/>
        <v>2.7315696685673137E-2</v>
      </c>
      <c r="G309" s="314">
        <f>C309-E309</f>
        <v>95205.030000000028</v>
      </c>
      <c r="H309" s="314">
        <v>108985.60000000001</v>
      </c>
      <c r="I309" s="314">
        <v>337794.97</v>
      </c>
      <c r="J309" s="314">
        <f t="shared" si="51"/>
        <v>2.8946909569419452E-2</v>
      </c>
      <c r="K309" s="316">
        <f>C309-I309</f>
        <v>95205.030000000028</v>
      </c>
      <c r="L309" s="314">
        <v>0</v>
      </c>
    </row>
    <row r="310" spans="1:12" ht="11.25" customHeight="1" x14ac:dyDescent="0.2">
      <c r="A310" s="87" t="s">
        <v>464</v>
      </c>
      <c r="B310" s="314">
        <v>570000</v>
      </c>
      <c r="C310" s="314">
        <v>645000</v>
      </c>
      <c r="D310" s="314">
        <v>144748.54</v>
      </c>
      <c r="E310" s="314">
        <v>641334.79</v>
      </c>
      <c r="F310" s="314">
        <f t="shared" si="50"/>
        <v>5.1861360154681638E-2</v>
      </c>
      <c r="G310" s="314">
        <f>C310-E310</f>
        <v>3665.2099999999627</v>
      </c>
      <c r="H310" s="314">
        <v>144748.54</v>
      </c>
      <c r="I310" s="314">
        <v>641334.79</v>
      </c>
      <c r="J310" s="314">
        <f t="shared" si="51"/>
        <v>5.4958367704091682E-2</v>
      </c>
      <c r="K310" s="316">
        <f>C310-I310</f>
        <v>3665.2099999999627</v>
      </c>
      <c r="L310" s="314">
        <v>0</v>
      </c>
    </row>
    <row r="311" spans="1:12" ht="11.25" customHeight="1" x14ac:dyDescent="0.2">
      <c r="A311" s="87" t="s">
        <v>426</v>
      </c>
      <c r="B311" s="314"/>
      <c r="C311" s="314"/>
      <c r="D311" s="314"/>
      <c r="E311" s="314"/>
      <c r="F311" s="314">
        <f t="shared" si="50"/>
        <v>0</v>
      </c>
      <c r="G311" s="314">
        <f>C311-E311</f>
        <v>0</v>
      </c>
      <c r="H311" s="314"/>
      <c r="I311" s="314"/>
      <c r="J311" s="314">
        <f t="shared" si="51"/>
        <v>0</v>
      </c>
      <c r="K311" s="316">
        <f>C311-I311</f>
        <v>0</v>
      </c>
      <c r="L311" s="314"/>
    </row>
    <row r="312" spans="1:12" ht="11.25" customHeight="1" x14ac:dyDescent="0.2">
      <c r="A312" s="87" t="s">
        <v>420</v>
      </c>
      <c r="B312" s="314"/>
      <c r="C312" s="314"/>
      <c r="D312" s="314"/>
      <c r="E312" s="314"/>
      <c r="F312" s="314">
        <f t="shared" si="50"/>
        <v>0</v>
      </c>
      <c r="G312" s="314">
        <f>C312-E312</f>
        <v>0</v>
      </c>
      <c r="H312" s="314"/>
      <c r="I312" s="314"/>
      <c r="J312" s="314">
        <f t="shared" si="51"/>
        <v>0</v>
      </c>
      <c r="K312" s="316">
        <f>C312-I312</f>
        <v>0</v>
      </c>
      <c r="L312" s="314"/>
    </row>
    <row r="313" spans="1:12" ht="11.25" customHeight="1" x14ac:dyDescent="0.2">
      <c r="A313" s="54" t="s">
        <v>289</v>
      </c>
      <c r="B313" s="314">
        <f>SUM(B314:B318)</f>
        <v>0</v>
      </c>
      <c r="C313" s="314">
        <f>SUM(C314:C318)</f>
        <v>0</v>
      </c>
      <c r="D313" s="314">
        <f>SUM(D314:D318)</f>
        <v>0</v>
      </c>
      <c r="E313" s="314">
        <f>SUM(E314:E318)</f>
        <v>0</v>
      </c>
      <c r="F313" s="314">
        <f t="shared" si="50"/>
        <v>0</v>
      </c>
      <c r="G313" s="314">
        <f>SUM(G314:G318)</f>
        <v>0</v>
      </c>
      <c r="H313" s="314">
        <f>SUM(H314:H318)</f>
        <v>0</v>
      </c>
      <c r="I313" s="314">
        <f>SUM(I314:I318)</f>
        <v>0</v>
      </c>
      <c r="J313" s="314">
        <f t="shared" si="51"/>
        <v>0</v>
      </c>
      <c r="K313" s="316">
        <f>SUM(K314:K318)</f>
        <v>0</v>
      </c>
      <c r="L313" s="314">
        <f>SUM(L314:L318)</f>
        <v>0</v>
      </c>
    </row>
    <row r="314" spans="1:12" ht="11.25" customHeight="1" x14ac:dyDescent="0.2">
      <c r="A314" s="87" t="s">
        <v>465</v>
      </c>
      <c r="B314" s="314"/>
      <c r="C314" s="314"/>
      <c r="D314" s="314"/>
      <c r="E314" s="314"/>
      <c r="F314" s="314">
        <f t="shared" si="50"/>
        <v>0</v>
      </c>
      <c r="G314" s="314">
        <f>C314-E314</f>
        <v>0</v>
      </c>
      <c r="H314" s="314"/>
      <c r="I314" s="314"/>
      <c r="J314" s="314">
        <f t="shared" si="51"/>
        <v>0</v>
      </c>
      <c r="K314" s="316">
        <f>C314-I314</f>
        <v>0</v>
      </c>
      <c r="L314" s="314"/>
    </row>
    <row r="315" spans="1:12" ht="11.25" customHeight="1" x14ac:dyDescent="0.2">
      <c r="A315" s="87" t="s">
        <v>466</v>
      </c>
      <c r="B315" s="314"/>
      <c r="C315" s="314"/>
      <c r="D315" s="314"/>
      <c r="E315" s="314"/>
      <c r="F315" s="314">
        <f t="shared" si="50"/>
        <v>0</v>
      </c>
      <c r="G315" s="314">
        <f>C315-E315</f>
        <v>0</v>
      </c>
      <c r="H315" s="314"/>
      <c r="I315" s="314"/>
      <c r="J315" s="314">
        <f t="shared" si="51"/>
        <v>0</v>
      </c>
      <c r="K315" s="316">
        <f>C315-I315</f>
        <v>0</v>
      </c>
      <c r="L315" s="314"/>
    </row>
    <row r="316" spans="1:12" ht="11.25" customHeight="1" x14ac:dyDescent="0.2">
      <c r="A316" s="87" t="s">
        <v>467</v>
      </c>
      <c r="B316" s="314"/>
      <c r="C316" s="314"/>
      <c r="D316" s="314"/>
      <c r="E316" s="314"/>
      <c r="F316" s="314">
        <f t="shared" si="50"/>
        <v>0</v>
      </c>
      <c r="G316" s="314">
        <f>C316-E316</f>
        <v>0</v>
      </c>
      <c r="H316" s="314"/>
      <c r="I316" s="314"/>
      <c r="J316" s="314">
        <f t="shared" si="51"/>
        <v>0</v>
      </c>
      <c r="K316" s="316">
        <f>C316-I316</f>
        <v>0</v>
      </c>
      <c r="L316" s="314"/>
    </row>
    <row r="317" spans="1:12" ht="11.25" customHeight="1" x14ac:dyDescent="0.2">
      <c r="A317" s="87" t="s">
        <v>426</v>
      </c>
      <c r="B317" s="314"/>
      <c r="C317" s="314"/>
      <c r="D317" s="314"/>
      <c r="E317" s="314"/>
      <c r="F317" s="314">
        <f t="shared" ref="F317:F348" si="56">IF($E$213&gt;0,E317/$E$213,0)*100</f>
        <v>0</v>
      </c>
      <c r="G317" s="314">
        <f>C317-E317</f>
        <v>0</v>
      </c>
      <c r="H317" s="314"/>
      <c r="I317" s="314"/>
      <c r="J317" s="314">
        <f t="shared" ref="J317:J348" si="57">IF($I$213&gt;0,I317/$I$213,0)*100</f>
        <v>0</v>
      </c>
      <c r="K317" s="316">
        <f>C317-I317</f>
        <v>0</v>
      </c>
      <c r="L317" s="314"/>
    </row>
    <row r="318" spans="1:12" ht="11.25" customHeight="1" x14ac:dyDescent="0.2">
      <c r="A318" s="87" t="s">
        <v>420</v>
      </c>
      <c r="B318" s="314"/>
      <c r="C318" s="314"/>
      <c r="D318" s="314"/>
      <c r="E318" s="314"/>
      <c r="F318" s="314">
        <f t="shared" si="56"/>
        <v>0</v>
      </c>
      <c r="G318" s="314">
        <f>C318-E318</f>
        <v>0</v>
      </c>
      <c r="H318" s="314"/>
      <c r="I318" s="314"/>
      <c r="J318" s="314">
        <f t="shared" si="57"/>
        <v>0</v>
      </c>
      <c r="K318" s="316">
        <f>C318-I318</f>
        <v>0</v>
      </c>
      <c r="L318" s="314"/>
    </row>
    <row r="319" spans="1:12" ht="11.25" customHeight="1" x14ac:dyDescent="0.2">
      <c r="A319" s="54" t="s">
        <v>290</v>
      </c>
      <c r="B319" s="314">
        <f>SUM(B320:B324)</f>
        <v>3585000</v>
      </c>
      <c r="C319" s="314">
        <f>SUM(C320:C324)</f>
        <v>4120000</v>
      </c>
      <c r="D319" s="314">
        <f>SUM(D320:D324)</f>
        <v>961283.58000000007</v>
      </c>
      <c r="E319" s="314">
        <f>SUM(E320:E324)</f>
        <v>4031634.27</v>
      </c>
      <c r="F319" s="314">
        <f t="shared" si="56"/>
        <v>0.32601698855043709</v>
      </c>
      <c r="G319" s="314">
        <f>SUM(G320:G324)</f>
        <v>88365.729999999981</v>
      </c>
      <c r="H319" s="314">
        <f>SUM(H320:H324)</f>
        <v>961283.58000000007</v>
      </c>
      <c r="I319" s="314">
        <f>SUM(I320:I324)</f>
        <v>4026212.27</v>
      </c>
      <c r="J319" s="314">
        <f t="shared" si="57"/>
        <v>0.34502113067869844</v>
      </c>
      <c r="K319" s="316">
        <f>SUM(K320:K324)</f>
        <v>93787.729999999981</v>
      </c>
      <c r="L319" s="314">
        <f>SUM(L320:L324)</f>
        <v>5422</v>
      </c>
    </row>
    <row r="320" spans="1:12" ht="11.25" customHeight="1" x14ac:dyDescent="0.2">
      <c r="A320" s="87" t="s">
        <v>468</v>
      </c>
      <c r="B320" s="314">
        <v>2015000</v>
      </c>
      <c r="C320" s="314">
        <v>2345000</v>
      </c>
      <c r="D320" s="314">
        <v>538474.43000000005</v>
      </c>
      <c r="E320" s="314">
        <v>2265994.92</v>
      </c>
      <c r="F320" s="314">
        <f t="shared" si="56"/>
        <v>0.1832390515643148</v>
      </c>
      <c r="G320" s="314">
        <f>C320-E320</f>
        <v>79005.080000000075</v>
      </c>
      <c r="H320" s="314">
        <v>538474.43000000005</v>
      </c>
      <c r="I320" s="314">
        <v>2265994.92</v>
      </c>
      <c r="J320" s="314">
        <f t="shared" si="57"/>
        <v>0.194181547564204</v>
      </c>
      <c r="K320" s="316">
        <f>C320-I320</f>
        <v>79005.080000000075</v>
      </c>
      <c r="L320" s="314">
        <v>0</v>
      </c>
    </row>
    <row r="321" spans="1:12" ht="11.25" customHeight="1" x14ac:dyDescent="0.2">
      <c r="A321" s="87" t="s">
        <v>469</v>
      </c>
      <c r="B321" s="314">
        <v>1570000</v>
      </c>
      <c r="C321" s="314">
        <v>1775000</v>
      </c>
      <c r="D321" s="314">
        <v>422809.15</v>
      </c>
      <c r="E321" s="314">
        <v>1765639.35</v>
      </c>
      <c r="F321" s="314">
        <f t="shared" si="56"/>
        <v>0.14277793698612232</v>
      </c>
      <c r="G321" s="314">
        <f>C321-E321</f>
        <v>9360.6499999999069</v>
      </c>
      <c r="H321" s="314">
        <v>422809.15</v>
      </c>
      <c r="I321" s="314">
        <v>1760217.35</v>
      </c>
      <c r="J321" s="314">
        <f t="shared" si="57"/>
        <v>0.15083958311449444</v>
      </c>
      <c r="K321" s="316">
        <f>C321-I321</f>
        <v>14782.649999999907</v>
      </c>
      <c r="L321" s="314">
        <v>5422</v>
      </c>
    </row>
    <row r="322" spans="1:12" ht="11.25" customHeight="1" x14ac:dyDescent="0.2">
      <c r="A322" s="87" t="s">
        <v>470</v>
      </c>
      <c r="B322" s="314"/>
      <c r="C322" s="314"/>
      <c r="D322" s="314"/>
      <c r="E322" s="314"/>
      <c r="F322" s="314">
        <f t="shared" si="56"/>
        <v>0</v>
      </c>
      <c r="G322" s="314">
        <f>C322-E322</f>
        <v>0</v>
      </c>
      <c r="H322" s="314"/>
      <c r="I322" s="314"/>
      <c r="J322" s="314">
        <f t="shared" si="57"/>
        <v>0</v>
      </c>
      <c r="K322" s="316">
        <f>C322-I322</f>
        <v>0</v>
      </c>
      <c r="L322" s="314"/>
    </row>
    <row r="323" spans="1:12" ht="11.25" customHeight="1" x14ac:dyDescent="0.2">
      <c r="A323" s="87" t="s">
        <v>426</v>
      </c>
      <c r="B323" s="314"/>
      <c r="C323" s="314"/>
      <c r="D323" s="314"/>
      <c r="E323" s="314"/>
      <c r="F323" s="314">
        <f t="shared" si="56"/>
        <v>0</v>
      </c>
      <c r="G323" s="314">
        <f>C323-E323</f>
        <v>0</v>
      </c>
      <c r="H323" s="314"/>
      <c r="I323" s="314"/>
      <c r="J323" s="314">
        <f t="shared" si="57"/>
        <v>0</v>
      </c>
      <c r="K323" s="316">
        <f>C323-I323</f>
        <v>0</v>
      </c>
      <c r="L323" s="314"/>
    </row>
    <row r="324" spans="1:12" ht="11.25" customHeight="1" x14ac:dyDescent="0.2">
      <c r="A324" s="87" t="s">
        <v>420</v>
      </c>
      <c r="B324" s="314"/>
      <c r="C324" s="314"/>
      <c r="D324" s="314"/>
      <c r="E324" s="314"/>
      <c r="F324" s="314">
        <f t="shared" si="56"/>
        <v>0</v>
      </c>
      <c r="G324" s="314">
        <f>C324-E324</f>
        <v>0</v>
      </c>
      <c r="H324" s="314"/>
      <c r="I324" s="314"/>
      <c r="J324" s="314">
        <f t="shared" si="57"/>
        <v>0</v>
      </c>
      <c r="K324" s="316">
        <f>C324-I324</f>
        <v>0</v>
      </c>
      <c r="L324" s="314"/>
    </row>
    <row r="325" spans="1:12" ht="11.25" customHeight="1" x14ac:dyDescent="0.2">
      <c r="A325" s="54" t="s">
        <v>291</v>
      </c>
      <c r="B325" s="314">
        <f>SUM(B326:B329)</f>
        <v>240000</v>
      </c>
      <c r="C325" s="314">
        <f>SUM(C326:C329)</f>
        <v>264330</v>
      </c>
      <c r="D325" s="314">
        <f>SUM(D326:D329)</f>
        <v>57939.01</v>
      </c>
      <c r="E325" s="314">
        <f>SUM(E326:E329)</f>
        <v>254203.51</v>
      </c>
      <c r="F325" s="314">
        <f t="shared" si="56"/>
        <v>2.0556096426164898E-2</v>
      </c>
      <c r="G325" s="314">
        <f>SUM(G326:G329)</f>
        <v>10126.489999999991</v>
      </c>
      <c r="H325" s="314">
        <f>SUM(H326:H329)</f>
        <v>58299.01</v>
      </c>
      <c r="I325" s="314">
        <f>SUM(I326:I329)</f>
        <v>253585.51</v>
      </c>
      <c r="J325" s="314">
        <f t="shared" si="57"/>
        <v>2.1730687186032143E-2</v>
      </c>
      <c r="K325" s="316">
        <f>SUM(K326:K329)</f>
        <v>10744.489999999991</v>
      </c>
      <c r="L325" s="314">
        <f>SUM(L326:L329)</f>
        <v>618</v>
      </c>
    </row>
    <row r="326" spans="1:12" ht="11.25" customHeight="1" x14ac:dyDescent="0.2">
      <c r="A326" s="87" t="s">
        <v>471</v>
      </c>
      <c r="B326" s="314"/>
      <c r="C326" s="314"/>
      <c r="D326" s="314"/>
      <c r="E326" s="314"/>
      <c r="F326" s="314">
        <f t="shared" si="56"/>
        <v>0</v>
      </c>
      <c r="G326" s="314">
        <f>C326-E326</f>
        <v>0</v>
      </c>
      <c r="H326" s="314"/>
      <c r="I326" s="314"/>
      <c r="J326" s="314">
        <f t="shared" si="57"/>
        <v>0</v>
      </c>
      <c r="K326" s="316">
        <f>C326-I326</f>
        <v>0</v>
      </c>
      <c r="L326" s="314"/>
    </row>
    <row r="327" spans="1:12" ht="11.25" customHeight="1" x14ac:dyDescent="0.2">
      <c r="A327" s="87" t="s">
        <v>472</v>
      </c>
      <c r="B327" s="314">
        <v>240000</v>
      </c>
      <c r="C327" s="314">
        <v>264330</v>
      </c>
      <c r="D327" s="314">
        <v>57939.01</v>
      </c>
      <c r="E327" s="314">
        <v>254203.51</v>
      </c>
      <c r="F327" s="314">
        <f t="shared" si="56"/>
        <v>2.0556096426164898E-2</v>
      </c>
      <c r="G327" s="314">
        <f>C327-E327</f>
        <v>10126.489999999991</v>
      </c>
      <c r="H327" s="314">
        <v>58299.01</v>
      </c>
      <c r="I327" s="314">
        <v>253585.51</v>
      </c>
      <c r="J327" s="314">
        <f t="shared" si="57"/>
        <v>2.1730687186032143E-2</v>
      </c>
      <c r="K327" s="316">
        <f>C327-I327</f>
        <v>10744.489999999991</v>
      </c>
      <c r="L327" s="314">
        <v>618</v>
      </c>
    </row>
    <row r="328" spans="1:12" ht="11.25" customHeight="1" x14ac:dyDescent="0.2">
      <c r="A328" s="87" t="s">
        <v>426</v>
      </c>
      <c r="B328" s="314"/>
      <c r="C328" s="314"/>
      <c r="D328" s="314"/>
      <c r="E328" s="314"/>
      <c r="F328" s="314">
        <f t="shared" si="56"/>
        <v>0</v>
      </c>
      <c r="G328" s="314">
        <f>C328-E328</f>
        <v>0</v>
      </c>
      <c r="H328" s="314"/>
      <c r="I328" s="314"/>
      <c r="J328" s="314">
        <f t="shared" si="57"/>
        <v>0</v>
      </c>
      <c r="K328" s="316">
        <f>C328-I328</f>
        <v>0</v>
      </c>
      <c r="L328" s="314"/>
    </row>
    <row r="329" spans="1:12" ht="11.25" customHeight="1" x14ac:dyDescent="0.2">
      <c r="A329" s="87" t="s">
        <v>420</v>
      </c>
      <c r="B329" s="314"/>
      <c r="C329" s="314"/>
      <c r="D329" s="314"/>
      <c r="E329" s="314"/>
      <c r="F329" s="314">
        <f t="shared" si="56"/>
        <v>0</v>
      </c>
      <c r="G329" s="314">
        <f>C329-E329</f>
        <v>0</v>
      </c>
      <c r="H329" s="314"/>
      <c r="I329" s="314"/>
      <c r="J329" s="314">
        <f t="shared" si="57"/>
        <v>0</v>
      </c>
      <c r="K329" s="316">
        <f>C329-I329</f>
        <v>0</v>
      </c>
      <c r="L329" s="314"/>
    </row>
    <row r="330" spans="1:12" ht="11.25" customHeight="1" x14ac:dyDescent="0.2">
      <c r="A330" s="54" t="s">
        <v>292</v>
      </c>
      <c r="B330" s="314">
        <f>SUM(B331:B334)</f>
        <v>10200000</v>
      </c>
      <c r="C330" s="314">
        <f>SUM(C331:C334)</f>
        <v>10640000</v>
      </c>
      <c r="D330" s="314">
        <f>SUM(D331:D334)</f>
        <v>314795.62</v>
      </c>
      <c r="E330" s="314">
        <f>SUM(E331:E334)</f>
        <v>10378621.35</v>
      </c>
      <c r="F330" s="314">
        <f t="shared" si="56"/>
        <v>0.83926434076875533</v>
      </c>
      <c r="G330" s="314">
        <f>SUM(G331:G334)</f>
        <v>261378.65000000037</v>
      </c>
      <c r="H330" s="314">
        <f>SUM(H331:H334)</f>
        <v>2878919.53</v>
      </c>
      <c r="I330" s="314">
        <f>SUM(I331:I334)</f>
        <v>10254565.199999999</v>
      </c>
      <c r="J330" s="314">
        <f t="shared" si="57"/>
        <v>0.87875189946764365</v>
      </c>
      <c r="K330" s="316">
        <f>SUM(K331:K334)</f>
        <v>385434.80000000075</v>
      </c>
      <c r="L330" s="314">
        <f>SUM(L331:L334)</f>
        <v>124056.15</v>
      </c>
    </row>
    <row r="331" spans="1:12" ht="11.25" customHeight="1" x14ac:dyDescent="0.2">
      <c r="A331" s="87" t="s">
        <v>473</v>
      </c>
      <c r="B331" s="314"/>
      <c r="C331" s="314"/>
      <c r="D331" s="314"/>
      <c r="E331" s="314"/>
      <c r="F331" s="314">
        <f t="shared" si="56"/>
        <v>0</v>
      </c>
      <c r="G331" s="314">
        <f>C331-E331</f>
        <v>0</v>
      </c>
      <c r="H331" s="314"/>
      <c r="I331" s="314"/>
      <c r="J331" s="314">
        <f t="shared" si="57"/>
        <v>0</v>
      </c>
      <c r="K331" s="316">
        <f>C331-I331</f>
        <v>0</v>
      </c>
      <c r="L331" s="314"/>
    </row>
    <row r="332" spans="1:12" ht="11.25" customHeight="1" x14ac:dyDescent="0.2">
      <c r="A332" s="87" t="s">
        <v>474</v>
      </c>
      <c r="B332" s="314">
        <v>10200000</v>
      </c>
      <c r="C332" s="314">
        <v>10640000</v>
      </c>
      <c r="D332" s="314">
        <v>314795.62</v>
      </c>
      <c r="E332" s="314">
        <v>10378621.35</v>
      </c>
      <c r="F332" s="314">
        <f t="shared" si="56"/>
        <v>0.83926434076875533</v>
      </c>
      <c r="G332" s="314">
        <f>C332-E332</f>
        <v>261378.65000000037</v>
      </c>
      <c r="H332" s="314">
        <v>2878919.53</v>
      </c>
      <c r="I332" s="314">
        <v>10254565.199999999</v>
      </c>
      <c r="J332" s="314">
        <f t="shared" si="57"/>
        <v>0.87875189946764365</v>
      </c>
      <c r="K332" s="316">
        <f>C332-I332</f>
        <v>385434.80000000075</v>
      </c>
      <c r="L332" s="314">
        <v>124056.15</v>
      </c>
    </row>
    <row r="333" spans="1:12" ht="11.25" customHeight="1" x14ac:dyDescent="0.2">
      <c r="A333" s="87" t="s">
        <v>426</v>
      </c>
      <c r="B333" s="314"/>
      <c r="C333" s="314"/>
      <c r="D333" s="314"/>
      <c r="E333" s="314"/>
      <c r="F333" s="314">
        <f t="shared" si="56"/>
        <v>0</v>
      </c>
      <c r="G333" s="314">
        <f>C333-E333</f>
        <v>0</v>
      </c>
      <c r="H333" s="314"/>
      <c r="I333" s="314"/>
      <c r="J333" s="314">
        <f t="shared" si="57"/>
        <v>0</v>
      </c>
      <c r="K333" s="316">
        <f>C333-I333</f>
        <v>0</v>
      </c>
      <c r="L333" s="314"/>
    </row>
    <row r="334" spans="1:12" ht="11.25" customHeight="1" x14ac:dyDescent="0.2">
      <c r="A334" s="87" t="s">
        <v>420</v>
      </c>
      <c r="B334" s="314"/>
      <c r="C334" s="314"/>
      <c r="D334" s="314"/>
      <c r="E334" s="314"/>
      <c r="F334" s="314">
        <f t="shared" si="56"/>
        <v>0</v>
      </c>
      <c r="G334" s="314">
        <f>C334-E334</f>
        <v>0</v>
      </c>
      <c r="H334" s="314"/>
      <c r="I334" s="314"/>
      <c r="J334" s="314">
        <f t="shared" si="57"/>
        <v>0</v>
      </c>
      <c r="K334" s="316">
        <f>C334-I334</f>
        <v>0</v>
      </c>
      <c r="L334" s="314"/>
    </row>
    <row r="335" spans="1:12" ht="11.25" customHeight="1" x14ac:dyDescent="0.2">
      <c r="A335" s="54" t="s">
        <v>293</v>
      </c>
      <c r="B335" s="314">
        <f>SUM(B336:B342)</f>
        <v>0</v>
      </c>
      <c r="C335" s="314">
        <f>SUM(C336:C342)</f>
        <v>0</v>
      </c>
      <c r="D335" s="314">
        <f>SUM(D336:D342)</f>
        <v>0</v>
      </c>
      <c r="E335" s="314">
        <f>SUM(E336:E342)</f>
        <v>0</v>
      </c>
      <c r="F335" s="314">
        <f t="shared" si="56"/>
        <v>0</v>
      </c>
      <c r="G335" s="314">
        <f>SUM(G336:G342)</f>
        <v>0</v>
      </c>
      <c r="H335" s="314">
        <f>SUM(H336:H342)</f>
        <v>0</v>
      </c>
      <c r="I335" s="314">
        <f>SUM(I336:I342)</f>
        <v>0</v>
      </c>
      <c r="J335" s="314">
        <f t="shared" si="57"/>
        <v>0</v>
      </c>
      <c r="K335" s="316">
        <f>SUM(K336:K342)</f>
        <v>0</v>
      </c>
      <c r="L335" s="314">
        <f>SUM(L336:L342)</f>
        <v>0</v>
      </c>
    </row>
    <row r="336" spans="1:12" ht="11.25" customHeight="1" x14ac:dyDescent="0.2">
      <c r="A336" s="87" t="s">
        <v>475</v>
      </c>
      <c r="B336" s="314"/>
      <c r="C336" s="314"/>
      <c r="D336" s="314"/>
      <c r="E336" s="314"/>
      <c r="F336" s="314">
        <f t="shared" si="56"/>
        <v>0</v>
      </c>
      <c r="G336" s="314">
        <f t="shared" ref="G336:G342" si="58">C336-E336</f>
        <v>0</v>
      </c>
      <c r="H336" s="314"/>
      <c r="I336" s="314"/>
      <c r="J336" s="314">
        <f t="shared" si="57"/>
        <v>0</v>
      </c>
      <c r="K336" s="316">
        <f t="shared" ref="K336:K342" si="59">C336-I336</f>
        <v>0</v>
      </c>
      <c r="L336" s="314"/>
    </row>
    <row r="337" spans="1:12" ht="11.25" customHeight="1" x14ac:dyDescent="0.2">
      <c r="A337" s="87" t="s">
        <v>476</v>
      </c>
      <c r="B337" s="314"/>
      <c r="C337" s="314"/>
      <c r="D337" s="314"/>
      <c r="E337" s="314"/>
      <c r="F337" s="314">
        <f t="shared" si="56"/>
        <v>0</v>
      </c>
      <c r="G337" s="314">
        <f t="shared" si="58"/>
        <v>0</v>
      </c>
      <c r="H337" s="314"/>
      <c r="I337" s="314"/>
      <c r="J337" s="314">
        <f t="shared" si="57"/>
        <v>0</v>
      </c>
      <c r="K337" s="316">
        <f t="shared" si="59"/>
        <v>0</v>
      </c>
      <c r="L337" s="314"/>
    </row>
    <row r="338" spans="1:12" ht="11.25" customHeight="1" x14ac:dyDescent="0.2">
      <c r="A338" s="87" t="s">
        <v>477</v>
      </c>
      <c r="B338" s="314"/>
      <c r="C338" s="314"/>
      <c r="D338" s="314"/>
      <c r="E338" s="314"/>
      <c r="F338" s="314">
        <f t="shared" si="56"/>
        <v>0</v>
      </c>
      <c r="G338" s="314">
        <f t="shared" si="58"/>
        <v>0</v>
      </c>
      <c r="H338" s="314"/>
      <c r="I338" s="314"/>
      <c r="J338" s="314">
        <f t="shared" si="57"/>
        <v>0</v>
      </c>
      <c r="K338" s="316">
        <f t="shared" si="59"/>
        <v>0</v>
      </c>
      <c r="L338" s="314"/>
    </row>
    <row r="339" spans="1:12" ht="11.25" customHeight="1" x14ac:dyDescent="0.2">
      <c r="A339" s="87" t="s">
        <v>478</v>
      </c>
      <c r="B339" s="314"/>
      <c r="C339" s="314"/>
      <c r="D339" s="314"/>
      <c r="E339" s="314"/>
      <c r="F339" s="314">
        <f t="shared" si="56"/>
        <v>0</v>
      </c>
      <c r="G339" s="314">
        <f t="shared" si="58"/>
        <v>0</v>
      </c>
      <c r="H339" s="314"/>
      <c r="I339" s="314"/>
      <c r="J339" s="314">
        <f t="shared" si="57"/>
        <v>0</v>
      </c>
      <c r="K339" s="316">
        <f t="shared" si="59"/>
        <v>0</v>
      </c>
      <c r="L339" s="314"/>
    </row>
    <row r="340" spans="1:12" ht="11.25" customHeight="1" x14ac:dyDescent="0.2">
      <c r="A340" s="87" t="s">
        <v>479</v>
      </c>
      <c r="B340" s="314"/>
      <c r="C340" s="314"/>
      <c r="D340" s="314"/>
      <c r="E340" s="314"/>
      <c r="F340" s="314">
        <f t="shared" si="56"/>
        <v>0</v>
      </c>
      <c r="G340" s="314">
        <f t="shared" si="58"/>
        <v>0</v>
      </c>
      <c r="H340" s="314"/>
      <c r="I340" s="314"/>
      <c r="J340" s="314">
        <f t="shared" si="57"/>
        <v>0</v>
      </c>
      <c r="K340" s="316">
        <f t="shared" si="59"/>
        <v>0</v>
      </c>
      <c r="L340" s="314"/>
    </row>
    <row r="341" spans="1:12" ht="11.25" customHeight="1" x14ac:dyDescent="0.2">
      <c r="A341" s="87" t="s">
        <v>426</v>
      </c>
      <c r="B341" s="314"/>
      <c r="C341" s="314"/>
      <c r="D341" s="314"/>
      <c r="E341" s="314"/>
      <c r="F341" s="314">
        <f t="shared" si="56"/>
        <v>0</v>
      </c>
      <c r="G341" s="314">
        <f t="shared" si="58"/>
        <v>0</v>
      </c>
      <c r="H341" s="314"/>
      <c r="I341" s="314"/>
      <c r="J341" s="314">
        <f t="shared" si="57"/>
        <v>0</v>
      </c>
      <c r="K341" s="316">
        <f t="shared" si="59"/>
        <v>0</v>
      </c>
      <c r="L341" s="314"/>
    </row>
    <row r="342" spans="1:12" ht="11.25" customHeight="1" x14ac:dyDescent="0.2">
      <c r="A342" s="87" t="s">
        <v>420</v>
      </c>
      <c r="B342" s="314"/>
      <c r="C342" s="314"/>
      <c r="D342" s="314"/>
      <c r="E342" s="314"/>
      <c r="F342" s="314">
        <f t="shared" si="56"/>
        <v>0</v>
      </c>
      <c r="G342" s="314">
        <f t="shared" si="58"/>
        <v>0</v>
      </c>
      <c r="H342" s="314"/>
      <c r="I342" s="314"/>
      <c r="J342" s="314">
        <f t="shared" si="57"/>
        <v>0</v>
      </c>
      <c r="K342" s="316">
        <f t="shared" si="59"/>
        <v>0</v>
      </c>
      <c r="L342" s="314"/>
    </row>
    <row r="343" spans="1:12" ht="11.25" customHeight="1" x14ac:dyDescent="0.2">
      <c r="A343" s="54" t="s">
        <v>294</v>
      </c>
      <c r="B343" s="314">
        <f>SUM(B344:B348)</f>
        <v>0</v>
      </c>
      <c r="C343" s="314">
        <f>SUM(C344:C348)</f>
        <v>0</v>
      </c>
      <c r="D343" s="314">
        <f>SUM(D344:D348)</f>
        <v>0</v>
      </c>
      <c r="E343" s="314">
        <f>SUM(E344:E348)</f>
        <v>0</v>
      </c>
      <c r="F343" s="314">
        <f t="shared" si="56"/>
        <v>0</v>
      </c>
      <c r="G343" s="314">
        <f>SUM(G344:G348)</f>
        <v>0</v>
      </c>
      <c r="H343" s="314">
        <f>SUM(H344:H348)</f>
        <v>0</v>
      </c>
      <c r="I343" s="314">
        <f>SUM(I344:I348)</f>
        <v>0</v>
      </c>
      <c r="J343" s="314">
        <f t="shared" si="57"/>
        <v>0</v>
      </c>
      <c r="K343" s="316">
        <f>SUM(K344:K348)</f>
        <v>0</v>
      </c>
      <c r="L343" s="314">
        <f>SUM(L344:L348)</f>
        <v>0</v>
      </c>
    </row>
    <row r="344" spans="1:12" ht="11.25" customHeight="1" x14ac:dyDescent="0.2">
      <c r="A344" s="87" t="s">
        <v>480</v>
      </c>
      <c r="B344" s="314"/>
      <c r="C344" s="314"/>
      <c r="D344" s="314"/>
      <c r="E344" s="314"/>
      <c r="F344" s="314">
        <f t="shared" si="56"/>
        <v>0</v>
      </c>
      <c r="G344" s="314">
        <f>C344-E344</f>
        <v>0</v>
      </c>
      <c r="H344" s="314"/>
      <c r="I344" s="314"/>
      <c r="J344" s="314">
        <f t="shared" si="57"/>
        <v>0</v>
      </c>
      <c r="K344" s="316">
        <f>C344-I344</f>
        <v>0</v>
      </c>
      <c r="L344" s="314"/>
    </row>
    <row r="345" spans="1:12" ht="11.25" customHeight="1" x14ac:dyDescent="0.2">
      <c r="A345" s="87" t="s">
        <v>481</v>
      </c>
      <c r="B345" s="314"/>
      <c r="C345" s="314"/>
      <c r="D345" s="314"/>
      <c r="E345" s="314"/>
      <c r="F345" s="314">
        <f t="shared" si="56"/>
        <v>0</v>
      </c>
      <c r="G345" s="314">
        <f>C345-E345</f>
        <v>0</v>
      </c>
      <c r="H345" s="314"/>
      <c r="I345" s="314"/>
      <c r="J345" s="314">
        <f t="shared" si="57"/>
        <v>0</v>
      </c>
      <c r="K345" s="316">
        <f>C345-I345</f>
        <v>0</v>
      </c>
      <c r="L345" s="314"/>
    </row>
    <row r="346" spans="1:12" ht="11.25" customHeight="1" x14ac:dyDescent="0.2">
      <c r="A346" s="87" t="s">
        <v>482</v>
      </c>
      <c r="B346" s="314"/>
      <c r="C346" s="314"/>
      <c r="D346" s="314"/>
      <c r="E346" s="314"/>
      <c r="F346" s="314">
        <f t="shared" si="56"/>
        <v>0</v>
      </c>
      <c r="G346" s="314">
        <f>C346-E346</f>
        <v>0</v>
      </c>
      <c r="H346" s="314"/>
      <c r="I346" s="314"/>
      <c r="J346" s="314">
        <f t="shared" si="57"/>
        <v>0</v>
      </c>
      <c r="K346" s="316">
        <f>C346-I346</f>
        <v>0</v>
      </c>
      <c r="L346" s="314"/>
    </row>
    <row r="347" spans="1:12" ht="11.25" customHeight="1" x14ac:dyDescent="0.2">
      <c r="A347" s="87" t="s">
        <v>426</v>
      </c>
      <c r="B347" s="314"/>
      <c r="C347" s="314"/>
      <c r="D347" s="314"/>
      <c r="E347" s="314"/>
      <c r="F347" s="314">
        <f t="shared" si="56"/>
        <v>0</v>
      </c>
      <c r="G347" s="314">
        <f>C347-E347</f>
        <v>0</v>
      </c>
      <c r="H347" s="314"/>
      <c r="I347" s="314"/>
      <c r="J347" s="314">
        <f t="shared" si="57"/>
        <v>0</v>
      </c>
      <c r="K347" s="316">
        <f>C347-I347</f>
        <v>0</v>
      </c>
      <c r="L347" s="314"/>
    </row>
    <row r="348" spans="1:12" ht="11.25" customHeight="1" x14ac:dyDescent="0.2">
      <c r="A348" s="87" t="s">
        <v>420</v>
      </c>
      <c r="B348" s="314"/>
      <c r="C348" s="314"/>
      <c r="D348" s="314"/>
      <c r="E348" s="314"/>
      <c r="F348" s="314">
        <f t="shared" si="56"/>
        <v>0</v>
      </c>
      <c r="G348" s="314">
        <f>C348-E348</f>
        <v>0</v>
      </c>
      <c r="H348" s="314"/>
      <c r="I348" s="314"/>
      <c r="J348" s="314">
        <f t="shared" si="57"/>
        <v>0</v>
      </c>
      <c r="K348" s="316">
        <f>C348-I348</f>
        <v>0</v>
      </c>
      <c r="L348" s="314"/>
    </row>
    <row r="349" spans="1:12" ht="11.25" customHeight="1" x14ac:dyDescent="0.2">
      <c r="A349" s="54" t="s">
        <v>295</v>
      </c>
      <c r="B349" s="314">
        <f>SUM(B350:B356)</f>
        <v>0</v>
      </c>
      <c r="C349" s="314">
        <f>SUM(C350:C356)</f>
        <v>0</v>
      </c>
      <c r="D349" s="314">
        <f>SUM(D350:D356)</f>
        <v>0</v>
      </c>
      <c r="E349" s="314">
        <f>SUM(E350:E356)</f>
        <v>0</v>
      </c>
      <c r="F349" s="314">
        <f t="shared" ref="F349:F380" si="60">IF($E$213&gt;0,E349/$E$213,0)*100</f>
        <v>0</v>
      </c>
      <c r="G349" s="314">
        <f>SUM(G350:G356)</f>
        <v>0</v>
      </c>
      <c r="H349" s="314">
        <f>SUM(H350:H356)</f>
        <v>0</v>
      </c>
      <c r="I349" s="314">
        <f>SUM(I350:I356)</f>
        <v>0</v>
      </c>
      <c r="J349" s="314">
        <f t="shared" ref="J349:J380" si="61">IF($I$213&gt;0,I349/$I$213,0)*100</f>
        <v>0</v>
      </c>
      <c r="K349" s="316">
        <f>SUM(K350:K356)</f>
        <v>0</v>
      </c>
      <c r="L349" s="314">
        <f>SUM(L350:L356)</f>
        <v>0</v>
      </c>
    </row>
    <row r="350" spans="1:12" ht="11.25" customHeight="1" x14ac:dyDescent="0.2">
      <c r="A350" s="87" t="s">
        <v>483</v>
      </c>
      <c r="B350" s="314"/>
      <c r="C350" s="314"/>
      <c r="D350" s="314"/>
      <c r="E350" s="314"/>
      <c r="F350" s="314">
        <f t="shared" si="60"/>
        <v>0</v>
      </c>
      <c r="G350" s="314">
        <f t="shared" ref="G350:G356" si="62">C350-E350</f>
        <v>0</v>
      </c>
      <c r="H350" s="314"/>
      <c r="I350" s="314"/>
      <c r="J350" s="314">
        <f t="shared" si="61"/>
        <v>0</v>
      </c>
      <c r="K350" s="316">
        <f t="shared" ref="K350:K356" si="63">C350-I350</f>
        <v>0</v>
      </c>
      <c r="L350" s="314"/>
    </row>
    <row r="351" spans="1:12" ht="11.25" customHeight="1" x14ac:dyDescent="0.2">
      <c r="A351" s="87" t="s">
        <v>484</v>
      </c>
      <c r="B351" s="314"/>
      <c r="C351" s="314"/>
      <c r="D351" s="314"/>
      <c r="E351" s="314"/>
      <c r="F351" s="314">
        <f t="shared" si="60"/>
        <v>0</v>
      </c>
      <c r="G351" s="314">
        <f t="shared" si="62"/>
        <v>0</v>
      </c>
      <c r="H351" s="314"/>
      <c r="I351" s="314"/>
      <c r="J351" s="314">
        <f t="shared" si="61"/>
        <v>0</v>
      </c>
      <c r="K351" s="316">
        <f t="shared" si="63"/>
        <v>0</v>
      </c>
      <c r="L351" s="314"/>
    </row>
    <row r="352" spans="1:12" ht="11.25" customHeight="1" x14ac:dyDescent="0.2">
      <c r="A352" s="87" t="s">
        <v>485</v>
      </c>
      <c r="B352" s="314"/>
      <c r="C352" s="314"/>
      <c r="D352" s="314"/>
      <c r="E352" s="314"/>
      <c r="F352" s="314">
        <f t="shared" si="60"/>
        <v>0</v>
      </c>
      <c r="G352" s="314">
        <f t="shared" si="62"/>
        <v>0</v>
      </c>
      <c r="H352" s="314"/>
      <c r="I352" s="314"/>
      <c r="J352" s="314">
        <f t="shared" si="61"/>
        <v>0</v>
      </c>
      <c r="K352" s="316">
        <f t="shared" si="63"/>
        <v>0</v>
      </c>
      <c r="L352" s="314"/>
    </row>
    <row r="353" spans="1:12" ht="11.25" customHeight="1" x14ac:dyDescent="0.2">
      <c r="A353" s="87" t="s">
        <v>742</v>
      </c>
      <c r="B353" s="314"/>
      <c r="C353" s="314"/>
      <c r="D353" s="314"/>
      <c r="E353" s="314"/>
      <c r="F353" s="314">
        <f t="shared" si="60"/>
        <v>0</v>
      </c>
      <c r="G353" s="314">
        <f t="shared" si="62"/>
        <v>0</v>
      </c>
      <c r="H353" s="314"/>
      <c r="I353" s="314"/>
      <c r="J353" s="314">
        <f t="shared" si="61"/>
        <v>0</v>
      </c>
      <c r="K353" s="316">
        <f t="shared" si="63"/>
        <v>0</v>
      </c>
      <c r="L353" s="314"/>
    </row>
    <row r="354" spans="1:12" ht="11.25" customHeight="1" x14ac:dyDescent="0.2">
      <c r="A354" s="87" t="s">
        <v>743</v>
      </c>
      <c r="B354" s="314"/>
      <c r="C354" s="314"/>
      <c r="D354" s="314"/>
      <c r="E354" s="314"/>
      <c r="F354" s="314">
        <f t="shared" si="60"/>
        <v>0</v>
      </c>
      <c r="G354" s="314">
        <f t="shared" si="62"/>
        <v>0</v>
      </c>
      <c r="H354" s="314"/>
      <c r="I354" s="314"/>
      <c r="J354" s="314">
        <f t="shared" si="61"/>
        <v>0</v>
      </c>
      <c r="K354" s="316">
        <f t="shared" si="63"/>
        <v>0</v>
      </c>
      <c r="L354" s="314"/>
    </row>
    <row r="355" spans="1:12" ht="11.25" customHeight="1" x14ac:dyDescent="0.2">
      <c r="A355" s="87" t="s">
        <v>426</v>
      </c>
      <c r="B355" s="314"/>
      <c r="C355" s="314"/>
      <c r="D355" s="314"/>
      <c r="E355" s="314"/>
      <c r="F355" s="314">
        <f t="shared" si="60"/>
        <v>0</v>
      </c>
      <c r="G355" s="314">
        <f t="shared" si="62"/>
        <v>0</v>
      </c>
      <c r="H355" s="314"/>
      <c r="I355" s="314"/>
      <c r="J355" s="314">
        <f t="shared" si="61"/>
        <v>0</v>
      </c>
      <c r="K355" s="316">
        <f t="shared" si="63"/>
        <v>0</v>
      </c>
      <c r="L355" s="314"/>
    </row>
    <row r="356" spans="1:12" ht="11.25" customHeight="1" x14ac:dyDescent="0.2">
      <c r="A356" s="87" t="s">
        <v>420</v>
      </c>
      <c r="B356" s="314"/>
      <c r="C356" s="314"/>
      <c r="D356" s="314"/>
      <c r="E356" s="314"/>
      <c r="F356" s="314">
        <f t="shared" si="60"/>
        <v>0</v>
      </c>
      <c r="G356" s="314">
        <f t="shared" si="62"/>
        <v>0</v>
      </c>
      <c r="H356" s="314"/>
      <c r="I356" s="314"/>
      <c r="J356" s="314">
        <f t="shared" si="61"/>
        <v>0</v>
      </c>
      <c r="K356" s="316">
        <f t="shared" si="63"/>
        <v>0</v>
      </c>
      <c r="L356" s="314"/>
    </row>
    <row r="357" spans="1:12" ht="11.25" customHeight="1" x14ac:dyDescent="0.2">
      <c r="A357" s="54" t="s">
        <v>296</v>
      </c>
      <c r="B357" s="314">
        <f>SUM(B358:B361)</f>
        <v>0</v>
      </c>
      <c r="C357" s="314">
        <f>SUM(C358:C361)</f>
        <v>0</v>
      </c>
      <c r="D357" s="314">
        <f>SUM(D358:D361)</f>
        <v>0</v>
      </c>
      <c r="E357" s="314">
        <f>SUM(E358:E361)</f>
        <v>0</v>
      </c>
      <c r="F357" s="314">
        <f t="shared" si="60"/>
        <v>0</v>
      </c>
      <c r="G357" s="314">
        <f>SUM(G358:G361)</f>
        <v>0</v>
      </c>
      <c r="H357" s="314">
        <f>SUM(H358:H361)</f>
        <v>0</v>
      </c>
      <c r="I357" s="314">
        <f>SUM(I358:I361)</f>
        <v>0</v>
      </c>
      <c r="J357" s="314">
        <f t="shared" si="61"/>
        <v>0</v>
      </c>
      <c r="K357" s="316">
        <f>SUM(K358:K361)</f>
        <v>0</v>
      </c>
      <c r="L357" s="314">
        <f>SUM(L358:L361)</f>
        <v>0</v>
      </c>
    </row>
    <row r="358" spans="1:12" ht="11.25" customHeight="1" x14ac:dyDescent="0.2">
      <c r="A358" s="87" t="s">
        <v>486</v>
      </c>
      <c r="B358" s="314"/>
      <c r="C358" s="314"/>
      <c r="D358" s="314"/>
      <c r="E358" s="314"/>
      <c r="F358" s="314">
        <f t="shared" si="60"/>
        <v>0</v>
      </c>
      <c r="G358" s="314">
        <f>C358-E358</f>
        <v>0</v>
      </c>
      <c r="H358" s="314"/>
      <c r="I358" s="314"/>
      <c r="J358" s="314">
        <f t="shared" si="61"/>
        <v>0</v>
      </c>
      <c r="K358" s="316">
        <f>C358-I358</f>
        <v>0</v>
      </c>
      <c r="L358" s="314"/>
    </row>
    <row r="359" spans="1:12" ht="11.25" customHeight="1" x14ac:dyDescent="0.2">
      <c r="A359" s="87" t="s">
        <v>487</v>
      </c>
      <c r="B359" s="314"/>
      <c r="C359" s="314"/>
      <c r="D359" s="314"/>
      <c r="E359" s="314"/>
      <c r="F359" s="314">
        <f t="shared" si="60"/>
        <v>0</v>
      </c>
      <c r="G359" s="314">
        <f>C359-E359</f>
        <v>0</v>
      </c>
      <c r="H359" s="314"/>
      <c r="I359" s="314"/>
      <c r="J359" s="314">
        <f t="shared" si="61"/>
        <v>0</v>
      </c>
      <c r="K359" s="316">
        <f>C359-I359</f>
        <v>0</v>
      </c>
      <c r="L359" s="314"/>
    </row>
    <row r="360" spans="1:12" ht="11.25" customHeight="1" x14ac:dyDescent="0.2">
      <c r="A360" s="87" t="s">
        <v>426</v>
      </c>
      <c r="B360" s="314"/>
      <c r="C360" s="314"/>
      <c r="D360" s="314"/>
      <c r="E360" s="314"/>
      <c r="F360" s="314">
        <f t="shared" si="60"/>
        <v>0</v>
      </c>
      <c r="G360" s="314">
        <f>C360-E360</f>
        <v>0</v>
      </c>
      <c r="H360" s="314"/>
      <c r="I360" s="314"/>
      <c r="J360" s="314">
        <f t="shared" si="61"/>
        <v>0</v>
      </c>
      <c r="K360" s="316">
        <f>C360-I360</f>
        <v>0</v>
      </c>
      <c r="L360" s="314"/>
    </row>
    <row r="361" spans="1:12" ht="11.25" customHeight="1" x14ac:dyDescent="0.2">
      <c r="A361" s="87" t="s">
        <v>420</v>
      </c>
      <c r="B361" s="314"/>
      <c r="C361" s="314"/>
      <c r="D361" s="314"/>
      <c r="E361" s="314"/>
      <c r="F361" s="314">
        <f t="shared" si="60"/>
        <v>0</v>
      </c>
      <c r="G361" s="314">
        <f>C361-E361</f>
        <v>0</v>
      </c>
      <c r="H361" s="314"/>
      <c r="I361" s="314"/>
      <c r="J361" s="314">
        <f t="shared" si="61"/>
        <v>0</v>
      </c>
      <c r="K361" s="316">
        <f>C361-I361</f>
        <v>0</v>
      </c>
      <c r="L361" s="314"/>
    </row>
    <row r="362" spans="1:12" ht="11.25" customHeight="1" x14ac:dyDescent="0.2">
      <c r="A362" s="54" t="s">
        <v>297</v>
      </c>
      <c r="B362" s="314">
        <f>SUM(B363:B369)</f>
        <v>350000</v>
      </c>
      <c r="C362" s="314">
        <f>SUM(C363:C369)</f>
        <v>480000</v>
      </c>
      <c r="D362" s="314">
        <f>SUM(D363:D369)</f>
        <v>111593.19</v>
      </c>
      <c r="E362" s="314">
        <f>SUM(E363:E369)</f>
        <v>464653.5</v>
      </c>
      <c r="F362" s="314">
        <f t="shared" si="60"/>
        <v>3.7574076576499714E-2</v>
      </c>
      <c r="G362" s="314">
        <f>SUM(G363:G369)</f>
        <v>15346.5</v>
      </c>
      <c r="H362" s="314">
        <f>SUM(H363:H369)</f>
        <v>111995.19</v>
      </c>
      <c r="I362" s="314">
        <f>SUM(I363:I369)</f>
        <v>462691.5</v>
      </c>
      <c r="J362" s="314">
        <f t="shared" si="61"/>
        <v>3.9649758577041692E-2</v>
      </c>
      <c r="K362" s="316">
        <f>SUM(K363:K369)</f>
        <v>17308.5</v>
      </c>
      <c r="L362" s="314">
        <f>SUM(L363:L369)</f>
        <v>1962</v>
      </c>
    </row>
    <row r="363" spans="1:12" ht="11.25" customHeight="1" x14ac:dyDescent="0.2">
      <c r="A363" s="87" t="s">
        <v>488</v>
      </c>
      <c r="B363" s="314">
        <v>350000</v>
      </c>
      <c r="C363" s="314">
        <v>480000</v>
      </c>
      <c r="D363" s="314">
        <v>111593.19</v>
      </c>
      <c r="E363" s="314">
        <v>464653.5</v>
      </c>
      <c r="F363" s="314">
        <f t="shared" si="60"/>
        <v>3.7574076576499714E-2</v>
      </c>
      <c r="G363" s="314">
        <f t="shared" ref="G363:G369" si="64">C363-E363</f>
        <v>15346.5</v>
      </c>
      <c r="H363" s="314">
        <v>111995.19</v>
      </c>
      <c r="I363" s="314">
        <v>462691.5</v>
      </c>
      <c r="J363" s="314">
        <f t="shared" si="61"/>
        <v>3.9649758577041692E-2</v>
      </c>
      <c r="K363" s="316">
        <f t="shared" ref="K363:K369" si="65">C363-I363</f>
        <v>17308.5</v>
      </c>
      <c r="L363" s="314">
        <v>1962</v>
      </c>
    </row>
    <row r="364" spans="1:12" ht="11.25" customHeight="1" x14ac:dyDescent="0.2">
      <c r="A364" s="87" t="s">
        <v>489</v>
      </c>
      <c r="B364" s="314"/>
      <c r="C364" s="314"/>
      <c r="D364" s="314"/>
      <c r="E364" s="314"/>
      <c r="F364" s="314">
        <f t="shared" si="60"/>
        <v>0</v>
      </c>
      <c r="G364" s="314">
        <f t="shared" si="64"/>
        <v>0</v>
      </c>
      <c r="H364" s="314"/>
      <c r="I364" s="314"/>
      <c r="J364" s="314">
        <f t="shared" si="61"/>
        <v>0</v>
      </c>
      <c r="K364" s="316">
        <f t="shared" si="65"/>
        <v>0</v>
      </c>
      <c r="L364" s="314"/>
    </row>
    <row r="365" spans="1:12" ht="11.25" customHeight="1" x14ac:dyDescent="0.2">
      <c r="A365" s="87" t="s">
        <v>490</v>
      </c>
      <c r="B365" s="314"/>
      <c r="C365" s="314"/>
      <c r="D365" s="314"/>
      <c r="E365" s="314"/>
      <c r="F365" s="314">
        <f t="shared" si="60"/>
        <v>0</v>
      </c>
      <c r="G365" s="314">
        <f t="shared" si="64"/>
        <v>0</v>
      </c>
      <c r="H365" s="314"/>
      <c r="I365" s="314"/>
      <c r="J365" s="314">
        <f t="shared" si="61"/>
        <v>0</v>
      </c>
      <c r="K365" s="316">
        <f t="shared" si="65"/>
        <v>0</v>
      </c>
      <c r="L365" s="314"/>
    </row>
    <row r="366" spans="1:12" ht="11.25" customHeight="1" x14ac:dyDescent="0.2">
      <c r="A366" s="87" t="s">
        <v>491</v>
      </c>
      <c r="B366" s="314"/>
      <c r="C366" s="314"/>
      <c r="D366" s="314"/>
      <c r="E366" s="314"/>
      <c r="F366" s="314">
        <f t="shared" si="60"/>
        <v>0</v>
      </c>
      <c r="G366" s="314">
        <f t="shared" si="64"/>
        <v>0</v>
      </c>
      <c r="H366" s="314"/>
      <c r="I366" s="314"/>
      <c r="J366" s="314">
        <f t="shared" si="61"/>
        <v>0</v>
      </c>
      <c r="K366" s="316">
        <f t="shared" si="65"/>
        <v>0</v>
      </c>
      <c r="L366" s="314"/>
    </row>
    <row r="367" spans="1:12" ht="11.25" customHeight="1" x14ac:dyDescent="0.2">
      <c r="A367" s="87" t="s">
        <v>492</v>
      </c>
      <c r="B367" s="314"/>
      <c r="C367" s="314"/>
      <c r="D367" s="314"/>
      <c r="E367" s="314"/>
      <c r="F367" s="314">
        <f t="shared" si="60"/>
        <v>0</v>
      </c>
      <c r="G367" s="314">
        <f t="shared" si="64"/>
        <v>0</v>
      </c>
      <c r="H367" s="314"/>
      <c r="I367" s="314"/>
      <c r="J367" s="314">
        <f t="shared" si="61"/>
        <v>0</v>
      </c>
      <c r="K367" s="316">
        <f t="shared" si="65"/>
        <v>0</v>
      </c>
      <c r="L367" s="314"/>
    </row>
    <row r="368" spans="1:12" ht="11.25" customHeight="1" x14ac:dyDescent="0.2">
      <c r="A368" s="87" t="s">
        <v>426</v>
      </c>
      <c r="B368" s="314"/>
      <c r="C368" s="314"/>
      <c r="D368" s="314"/>
      <c r="E368" s="314"/>
      <c r="F368" s="314">
        <f t="shared" si="60"/>
        <v>0</v>
      </c>
      <c r="G368" s="314">
        <f t="shared" si="64"/>
        <v>0</v>
      </c>
      <c r="H368" s="314"/>
      <c r="I368" s="314"/>
      <c r="J368" s="314">
        <f t="shared" si="61"/>
        <v>0</v>
      </c>
      <c r="K368" s="316">
        <f t="shared" si="65"/>
        <v>0</v>
      </c>
      <c r="L368" s="314"/>
    </row>
    <row r="369" spans="1:12" ht="11.25" customHeight="1" x14ac:dyDescent="0.2">
      <c r="A369" s="87" t="s">
        <v>420</v>
      </c>
      <c r="B369" s="314"/>
      <c r="C369" s="314"/>
      <c r="D369" s="314"/>
      <c r="E369" s="314"/>
      <c r="F369" s="314">
        <f t="shared" si="60"/>
        <v>0</v>
      </c>
      <c r="G369" s="314">
        <f t="shared" si="64"/>
        <v>0</v>
      </c>
      <c r="H369" s="314"/>
      <c r="I369" s="314"/>
      <c r="J369" s="314">
        <f t="shared" si="61"/>
        <v>0</v>
      </c>
      <c r="K369" s="316">
        <f t="shared" si="65"/>
        <v>0</v>
      </c>
      <c r="L369" s="314"/>
    </row>
    <row r="370" spans="1:12" ht="11.25" customHeight="1" x14ac:dyDescent="0.2">
      <c r="A370" s="54" t="s">
        <v>298</v>
      </c>
      <c r="B370" s="314">
        <f>SUM(B371:B377)</f>
        <v>0</v>
      </c>
      <c r="C370" s="314">
        <f>SUM(C371:C377)</f>
        <v>0</v>
      </c>
      <c r="D370" s="314">
        <f>SUM(D371:D377)</f>
        <v>0</v>
      </c>
      <c r="E370" s="314">
        <f>SUM(E371:E377)</f>
        <v>0</v>
      </c>
      <c r="F370" s="314">
        <f t="shared" si="60"/>
        <v>0</v>
      </c>
      <c r="G370" s="314">
        <f>SUM(G371:G377)</f>
        <v>0</v>
      </c>
      <c r="H370" s="314">
        <f>SUM(H371:H377)</f>
        <v>0</v>
      </c>
      <c r="I370" s="314">
        <f>SUM(I371:I377)</f>
        <v>0</v>
      </c>
      <c r="J370" s="314">
        <f t="shared" si="61"/>
        <v>0</v>
      </c>
      <c r="K370" s="316">
        <f>SUM(K371:K377)</f>
        <v>0</v>
      </c>
      <c r="L370" s="314">
        <f>SUM(L371:L377)</f>
        <v>0</v>
      </c>
    </row>
    <row r="371" spans="1:12" ht="11.25" customHeight="1" x14ac:dyDescent="0.2">
      <c r="A371" s="87" t="s">
        <v>493</v>
      </c>
      <c r="B371" s="314"/>
      <c r="C371" s="314"/>
      <c r="D371" s="314"/>
      <c r="E371" s="314"/>
      <c r="F371" s="314">
        <f t="shared" si="60"/>
        <v>0</v>
      </c>
      <c r="G371" s="314">
        <f t="shared" ref="G371:G377" si="66">C371-E371</f>
        <v>0</v>
      </c>
      <c r="H371" s="314"/>
      <c r="I371" s="314"/>
      <c r="J371" s="314">
        <f t="shared" si="61"/>
        <v>0</v>
      </c>
      <c r="K371" s="316">
        <f t="shared" ref="K371:K377" si="67">C371-I371</f>
        <v>0</v>
      </c>
      <c r="L371" s="314"/>
    </row>
    <row r="372" spans="1:12" ht="11.25" customHeight="1" x14ac:dyDescent="0.2">
      <c r="A372" s="87" t="s">
        <v>494</v>
      </c>
      <c r="B372" s="314"/>
      <c r="C372" s="314"/>
      <c r="D372" s="314"/>
      <c r="E372" s="314"/>
      <c r="F372" s="314">
        <f t="shared" si="60"/>
        <v>0</v>
      </c>
      <c r="G372" s="314">
        <f t="shared" si="66"/>
        <v>0</v>
      </c>
      <c r="H372" s="314"/>
      <c r="I372" s="314"/>
      <c r="J372" s="314">
        <f t="shared" si="61"/>
        <v>0</v>
      </c>
      <c r="K372" s="316">
        <f t="shared" si="67"/>
        <v>0</v>
      </c>
      <c r="L372" s="314"/>
    </row>
    <row r="373" spans="1:12" ht="11.25" customHeight="1" x14ac:dyDescent="0.2">
      <c r="A373" s="87" t="s">
        <v>495</v>
      </c>
      <c r="B373" s="314"/>
      <c r="C373" s="314"/>
      <c r="D373" s="314"/>
      <c r="E373" s="314"/>
      <c r="F373" s="314">
        <f t="shared" si="60"/>
        <v>0</v>
      </c>
      <c r="G373" s="314">
        <f t="shared" si="66"/>
        <v>0</v>
      </c>
      <c r="H373" s="314"/>
      <c r="I373" s="314"/>
      <c r="J373" s="314">
        <f t="shared" si="61"/>
        <v>0</v>
      </c>
      <c r="K373" s="316">
        <f t="shared" si="67"/>
        <v>0</v>
      </c>
      <c r="L373" s="314"/>
    </row>
    <row r="374" spans="1:12" ht="11.25" customHeight="1" x14ac:dyDescent="0.2">
      <c r="A374" s="87" t="s">
        <v>496</v>
      </c>
      <c r="B374" s="314"/>
      <c r="C374" s="314"/>
      <c r="D374" s="314"/>
      <c r="E374" s="314"/>
      <c r="F374" s="314">
        <f t="shared" si="60"/>
        <v>0</v>
      </c>
      <c r="G374" s="314">
        <f t="shared" si="66"/>
        <v>0</v>
      </c>
      <c r="H374" s="314"/>
      <c r="I374" s="314"/>
      <c r="J374" s="314">
        <f t="shared" si="61"/>
        <v>0</v>
      </c>
      <c r="K374" s="316">
        <f t="shared" si="67"/>
        <v>0</v>
      </c>
      <c r="L374" s="314"/>
    </row>
    <row r="375" spans="1:12" ht="11.25" customHeight="1" x14ac:dyDescent="0.2">
      <c r="A375" s="87" t="s">
        <v>497</v>
      </c>
      <c r="B375" s="314"/>
      <c r="C375" s="314"/>
      <c r="D375" s="314"/>
      <c r="E375" s="314"/>
      <c r="F375" s="314">
        <f t="shared" si="60"/>
        <v>0</v>
      </c>
      <c r="G375" s="314">
        <f t="shared" si="66"/>
        <v>0</v>
      </c>
      <c r="H375" s="314"/>
      <c r="I375" s="314"/>
      <c r="J375" s="314">
        <f t="shared" si="61"/>
        <v>0</v>
      </c>
      <c r="K375" s="316">
        <f t="shared" si="67"/>
        <v>0</v>
      </c>
      <c r="L375" s="314"/>
    </row>
    <row r="376" spans="1:12" ht="11.25" customHeight="1" x14ac:dyDescent="0.2">
      <c r="A376" s="87" t="s">
        <v>426</v>
      </c>
      <c r="B376" s="314"/>
      <c r="C376" s="314"/>
      <c r="D376" s="314"/>
      <c r="E376" s="314"/>
      <c r="F376" s="314">
        <f t="shared" si="60"/>
        <v>0</v>
      </c>
      <c r="G376" s="314">
        <f t="shared" si="66"/>
        <v>0</v>
      </c>
      <c r="H376" s="314"/>
      <c r="I376" s="314"/>
      <c r="J376" s="314">
        <f t="shared" si="61"/>
        <v>0</v>
      </c>
      <c r="K376" s="316">
        <f t="shared" si="67"/>
        <v>0</v>
      </c>
      <c r="L376" s="314"/>
    </row>
    <row r="377" spans="1:12" ht="11.25" customHeight="1" x14ac:dyDescent="0.2">
      <c r="A377" s="87" t="s">
        <v>420</v>
      </c>
      <c r="B377" s="314"/>
      <c r="C377" s="314"/>
      <c r="D377" s="314"/>
      <c r="E377" s="314"/>
      <c r="F377" s="314">
        <f t="shared" si="60"/>
        <v>0</v>
      </c>
      <c r="G377" s="314">
        <f t="shared" si="66"/>
        <v>0</v>
      </c>
      <c r="H377" s="314"/>
      <c r="I377" s="314"/>
      <c r="J377" s="314">
        <f t="shared" si="61"/>
        <v>0</v>
      </c>
      <c r="K377" s="316">
        <f t="shared" si="67"/>
        <v>0</v>
      </c>
      <c r="L377" s="314"/>
    </row>
    <row r="378" spans="1:12" ht="11.25" customHeight="1" x14ac:dyDescent="0.2">
      <c r="A378" s="54" t="s">
        <v>299</v>
      </c>
      <c r="B378" s="314">
        <f>SUM(B379:B382)</f>
        <v>0</v>
      </c>
      <c r="C378" s="314">
        <f>SUM(C379:C382)</f>
        <v>0</v>
      </c>
      <c r="D378" s="314">
        <f>SUM(D379:D382)</f>
        <v>0</v>
      </c>
      <c r="E378" s="314">
        <f>SUM(E379:E382)</f>
        <v>0</v>
      </c>
      <c r="F378" s="314">
        <f t="shared" si="60"/>
        <v>0</v>
      </c>
      <c r="G378" s="314">
        <f>SUM(G379:G382)</f>
        <v>0</v>
      </c>
      <c r="H378" s="314">
        <f>SUM(H379:H382)</f>
        <v>0</v>
      </c>
      <c r="I378" s="314">
        <f>SUM(I379:I382)</f>
        <v>0</v>
      </c>
      <c r="J378" s="314">
        <f t="shared" si="61"/>
        <v>0</v>
      </c>
      <c r="K378" s="316">
        <f>SUM(K379:K382)</f>
        <v>0</v>
      </c>
      <c r="L378" s="314">
        <f>SUM(L379:L382)</f>
        <v>0</v>
      </c>
    </row>
    <row r="379" spans="1:12" ht="11.25" customHeight="1" x14ac:dyDescent="0.2">
      <c r="A379" s="87" t="s">
        <v>498</v>
      </c>
      <c r="B379" s="314"/>
      <c r="C379" s="314"/>
      <c r="D379" s="314"/>
      <c r="E379" s="314"/>
      <c r="F379" s="314">
        <f t="shared" si="60"/>
        <v>0</v>
      </c>
      <c r="G379" s="314">
        <f>C379-E379</f>
        <v>0</v>
      </c>
      <c r="H379" s="314"/>
      <c r="I379" s="314"/>
      <c r="J379" s="314">
        <f t="shared" si="61"/>
        <v>0</v>
      </c>
      <c r="K379" s="316">
        <f>C379-I379</f>
        <v>0</v>
      </c>
      <c r="L379" s="314"/>
    </row>
    <row r="380" spans="1:12" ht="11.25" customHeight="1" x14ac:dyDescent="0.2">
      <c r="A380" s="87" t="s">
        <v>499</v>
      </c>
      <c r="B380" s="314"/>
      <c r="C380" s="314"/>
      <c r="D380" s="314"/>
      <c r="E380" s="314"/>
      <c r="F380" s="314">
        <f t="shared" si="60"/>
        <v>0</v>
      </c>
      <c r="G380" s="314">
        <f>C380-E380</f>
        <v>0</v>
      </c>
      <c r="H380" s="314"/>
      <c r="I380" s="314"/>
      <c r="J380" s="314">
        <f t="shared" si="61"/>
        <v>0</v>
      </c>
      <c r="K380" s="316">
        <f>C380-I380</f>
        <v>0</v>
      </c>
      <c r="L380" s="314"/>
    </row>
    <row r="381" spans="1:12" ht="11.25" customHeight="1" x14ac:dyDescent="0.2">
      <c r="A381" s="87" t="s">
        <v>426</v>
      </c>
      <c r="B381" s="314"/>
      <c r="C381" s="314"/>
      <c r="D381" s="314"/>
      <c r="E381" s="314"/>
      <c r="F381" s="314">
        <f t="shared" ref="F381:F412" si="68">IF($E$213&gt;0,E381/$E$213,0)*100</f>
        <v>0</v>
      </c>
      <c r="G381" s="314">
        <f>C381-E381</f>
        <v>0</v>
      </c>
      <c r="H381" s="314"/>
      <c r="I381" s="314"/>
      <c r="J381" s="314">
        <f t="shared" ref="J381:J412" si="69">IF($I$213&gt;0,I381/$I$213,0)*100</f>
        <v>0</v>
      </c>
      <c r="K381" s="316">
        <f>C381-I381</f>
        <v>0</v>
      </c>
      <c r="L381" s="314"/>
    </row>
    <row r="382" spans="1:12" ht="11.25" customHeight="1" x14ac:dyDescent="0.2">
      <c r="A382" s="87" t="s">
        <v>420</v>
      </c>
      <c r="B382" s="314"/>
      <c r="C382" s="314"/>
      <c r="D382" s="314"/>
      <c r="E382" s="314"/>
      <c r="F382" s="314">
        <f t="shared" si="68"/>
        <v>0</v>
      </c>
      <c r="G382" s="314">
        <f>C382-E382</f>
        <v>0</v>
      </c>
      <c r="H382" s="314"/>
      <c r="I382" s="314"/>
      <c r="J382" s="314">
        <f t="shared" si="69"/>
        <v>0</v>
      </c>
      <c r="K382" s="316">
        <f>C382-I382</f>
        <v>0</v>
      </c>
      <c r="L382" s="314"/>
    </row>
    <row r="383" spans="1:12" ht="11.25" customHeight="1" x14ac:dyDescent="0.2">
      <c r="A383" s="54" t="s">
        <v>300</v>
      </c>
      <c r="B383" s="314">
        <f>SUM(B384:B389)</f>
        <v>0</v>
      </c>
      <c r="C383" s="314">
        <f>SUM(C384:C389)</f>
        <v>0</v>
      </c>
      <c r="D383" s="314">
        <f>SUM(D384:D389)</f>
        <v>0</v>
      </c>
      <c r="E383" s="314">
        <f>SUM(E384:E389)</f>
        <v>0</v>
      </c>
      <c r="F383" s="314">
        <f t="shared" si="68"/>
        <v>0</v>
      </c>
      <c r="G383" s="314">
        <f>SUM(G384:G389)</f>
        <v>0</v>
      </c>
      <c r="H383" s="314">
        <f>SUM(H384:H389)</f>
        <v>0</v>
      </c>
      <c r="I383" s="314">
        <f>SUM(I384:I389)</f>
        <v>0</v>
      </c>
      <c r="J383" s="314">
        <f t="shared" si="69"/>
        <v>0</v>
      </c>
      <c r="K383" s="316">
        <f>SUM(K384:K389)</f>
        <v>0</v>
      </c>
      <c r="L383" s="314">
        <f>SUM(L384:L389)</f>
        <v>0</v>
      </c>
    </row>
    <row r="384" spans="1:12" ht="11.25" customHeight="1" x14ac:dyDescent="0.2">
      <c r="A384" s="87" t="s">
        <v>500</v>
      </c>
      <c r="B384" s="314"/>
      <c r="C384" s="314"/>
      <c r="D384" s="314"/>
      <c r="E384" s="314"/>
      <c r="F384" s="314">
        <f t="shared" si="68"/>
        <v>0</v>
      </c>
      <c r="G384" s="314">
        <f t="shared" ref="G384:G389" si="70">C384-E384</f>
        <v>0</v>
      </c>
      <c r="H384" s="314"/>
      <c r="I384" s="314"/>
      <c r="J384" s="314">
        <f t="shared" si="69"/>
        <v>0</v>
      </c>
      <c r="K384" s="316">
        <f t="shared" ref="K384:K389" si="71">C384-I384</f>
        <v>0</v>
      </c>
      <c r="L384" s="314"/>
    </row>
    <row r="385" spans="1:12" ht="11.25" customHeight="1" x14ac:dyDescent="0.2">
      <c r="A385" s="87" t="s">
        <v>501</v>
      </c>
      <c r="B385" s="314"/>
      <c r="C385" s="314"/>
      <c r="D385" s="314"/>
      <c r="E385" s="314"/>
      <c r="F385" s="314">
        <f t="shared" si="68"/>
        <v>0</v>
      </c>
      <c r="G385" s="314">
        <f t="shared" si="70"/>
        <v>0</v>
      </c>
      <c r="H385" s="314"/>
      <c r="I385" s="314"/>
      <c r="J385" s="314">
        <f t="shared" si="69"/>
        <v>0</v>
      </c>
      <c r="K385" s="316">
        <f t="shared" si="71"/>
        <v>0</v>
      </c>
      <c r="L385" s="314"/>
    </row>
    <row r="386" spans="1:12" ht="11.25" customHeight="1" x14ac:dyDescent="0.2">
      <c r="A386" s="87" t="s">
        <v>502</v>
      </c>
      <c r="B386" s="314"/>
      <c r="C386" s="314"/>
      <c r="D386" s="314"/>
      <c r="E386" s="314"/>
      <c r="F386" s="314">
        <f t="shared" si="68"/>
        <v>0</v>
      </c>
      <c r="G386" s="314">
        <f t="shared" si="70"/>
        <v>0</v>
      </c>
      <c r="H386" s="314"/>
      <c r="I386" s="314"/>
      <c r="J386" s="314">
        <f t="shared" si="69"/>
        <v>0</v>
      </c>
      <c r="K386" s="316">
        <f t="shared" si="71"/>
        <v>0</v>
      </c>
      <c r="L386" s="314"/>
    </row>
    <row r="387" spans="1:12" ht="11.25" customHeight="1" x14ac:dyDescent="0.2">
      <c r="A387" s="87" t="s">
        <v>503</v>
      </c>
      <c r="B387" s="314"/>
      <c r="C387" s="314"/>
      <c r="D387" s="314"/>
      <c r="E387" s="314"/>
      <c r="F387" s="314">
        <f t="shared" si="68"/>
        <v>0</v>
      </c>
      <c r="G387" s="314">
        <f t="shared" si="70"/>
        <v>0</v>
      </c>
      <c r="H387" s="314"/>
      <c r="I387" s="314"/>
      <c r="J387" s="314">
        <f t="shared" si="69"/>
        <v>0</v>
      </c>
      <c r="K387" s="316">
        <f t="shared" si="71"/>
        <v>0</v>
      </c>
      <c r="L387" s="314"/>
    </row>
    <row r="388" spans="1:12" ht="11.25" customHeight="1" x14ac:dyDescent="0.2">
      <c r="A388" s="87" t="s">
        <v>426</v>
      </c>
      <c r="B388" s="314"/>
      <c r="C388" s="314"/>
      <c r="D388" s="314"/>
      <c r="E388" s="314"/>
      <c r="F388" s="314">
        <f t="shared" si="68"/>
        <v>0</v>
      </c>
      <c r="G388" s="314">
        <f t="shared" si="70"/>
        <v>0</v>
      </c>
      <c r="H388" s="314"/>
      <c r="I388" s="314"/>
      <c r="J388" s="314">
        <f t="shared" si="69"/>
        <v>0</v>
      </c>
      <c r="K388" s="316">
        <f t="shared" si="71"/>
        <v>0</v>
      </c>
      <c r="L388" s="314"/>
    </row>
    <row r="389" spans="1:12" ht="11.25" customHeight="1" x14ac:dyDescent="0.2">
      <c r="A389" s="87" t="s">
        <v>420</v>
      </c>
      <c r="B389" s="314"/>
      <c r="C389" s="314"/>
      <c r="D389" s="314"/>
      <c r="E389" s="314"/>
      <c r="F389" s="314">
        <f t="shared" si="68"/>
        <v>0</v>
      </c>
      <c r="G389" s="314">
        <f t="shared" si="70"/>
        <v>0</v>
      </c>
      <c r="H389" s="314"/>
      <c r="I389" s="314"/>
      <c r="J389" s="314">
        <f t="shared" si="69"/>
        <v>0</v>
      </c>
      <c r="K389" s="316">
        <f t="shared" si="71"/>
        <v>0</v>
      </c>
      <c r="L389" s="314"/>
    </row>
    <row r="390" spans="1:12" ht="11.25" customHeight="1" x14ac:dyDescent="0.2">
      <c r="A390" s="54" t="s">
        <v>301</v>
      </c>
      <c r="B390" s="314">
        <f>SUM(B391:B397)</f>
        <v>0</v>
      </c>
      <c r="C390" s="314">
        <f>SUM(C391:C397)</f>
        <v>0</v>
      </c>
      <c r="D390" s="314">
        <f>SUM(D391:D397)</f>
        <v>0</v>
      </c>
      <c r="E390" s="314">
        <f>SUM(E391:E397)</f>
        <v>0</v>
      </c>
      <c r="F390" s="314">
        <f t="shared" si="68"/>
        <v>0</v>
      </c>
      <c r="G390" s="314">
        <f>SUM(G391:G397)</f>
        <v>0</v>
      </c>
      <c r="H390" s="314">
        <f>SUM(H391:H397)</f>
        <v>0</v>
      </c>
      <c r="I390" s="314">
        <f>SUM(I391:I397)</f>
        <v>0</v>
      </c>
      <c r="J390" s="314">
        <f t="shared" si="69"/>
        <v>0</v>
      </c>
      <c r="K390" s="316">
        <f>SUM(K391:K397)</f>
        <v>0</v>
      </c>
      <c r="L390" s="314">
        <f>SUM(L391:L397)</f>
        <v>0</v>
      </c>
    </row>
    <row r="391" spans="1:12" ht="11.25" customHeight="1" x14ac:dyDescent="0.2">
      <c r="A391" s="87" t="s">
        <v>504</v>
      </c>
      <c r="B391" s="314"/>
      <c r="C391" s="314"/>
      <c r="D391" s="314"/>
      <c r="E391" s="314"/>
      <c r="F391" s="314">
        <f t="shared" si="68"/>
        <v>0</v>
      </c>
      <c r="G391" s="314">
        <f t="shared" ref="G391:G397" si="72">C391-E391</f>
        <v>0</v>
      </c>
      <c r="H391" s="314"/>
      <c r="I391" s="314"/>
      <c r="J391" s="314">
        <f t="shared" si="69"/>
        <v>0</v>
      </c>
      <c r="K391" s="316">
        <f t="shared" ref="K391:K397" si="73">C391-I391</f>
        <v>0</v>
      </c>
      <c r="L391" s="314"/>
    </row>
    <row r="392" spans="1:12" ht="11.25" customHeight="1" x14ac:dyDescent="0.2">
      <c r="A392" s="87" t="s">
        <v>505</v>
      </c>
      <c r="B392" s="314"/>
      <c r="C392" s="314"/>
      <c r="D392" s="314"/>
      <c r="E392" s="314"/>
      <c r="F392" s="314">
        <f t="shared" si="68"/>
        <v>0</v>
      </c>
      <c r="G392" s="314">
        <f t="shared" si="72"/>
        <v>0</v>
      </c>
      <c r="H392" s="314"/>
      <c r="I392" s="314"/>
      <c r="J392" s="314">
        <f t="shared" si="69"/>
        <v>0</v>
      </c>
      <c r="K392" s="316">
        <f t="shared" si="73"/>
        <v>0</v>
      </c>
      <c r="L392" s="314"/>
    </row>
    <row r="393" spans="1:12" ht="11.25" customHeight="1" x14ac:dyDescent="0.2">
      <c r="A393" s="87" t="s">
        <v>506</v>
      </c>
      <c r="B393" s="314"/>
      <c r="C393" s="314"/>
      <c r="D393" s="314"/>
      <c r="E393" s="314"/>
      <c r="F393" s="314">
        <f t="shared" si="68"/>
        <v>0</v>
      </c>
      <c r="G393" s="314">
        <f t="shared" si="72"/>
        <v>0</v>
      </c>
      <c r="H393" s="314"/>
      <c r="I393" s="314"/>
      <c r="J393" s="314">
        <f t="shared" si="69"/>
        <v>0</v>
      </c>
      <c r="K393" s="316">
        <f t="shared" si="73"/>
        <v>0</v>
      </c>
      <c r="L393" s="314"/>
    </row>
    <row r="394" spans="1:12" ht="11.25" customHeight="1" x14ac:dyDescent="0.2">
      <c r="A394" s="87" t="s">
        <v>507</v>
      </c>
      <c r="B394" s="314"/>
      <c r="C394" s="314"/>
      <c r="D394" s="314"/>
      <c r="E394" s="314"/>
      <c r="F394" s="314">
        <f t="shared" si="68"/>
        <v>0</v>
      </c>
      <c r="G394" s="314">
        <f t="shared" si="72"/>
        <v>0</v>
      </c>
      <c r="H394" s="314"/>
      <c r="I394" s="314"/>
      <c r="J394" s="314">
        <f t="shared" si="69"/>
        <v>0</v>
      </c>
      <c r="K394" s="316">
        <f t="shared" si="73"/>
        <v>0</v>
      </c>
      <c r="L394" s="314"/>
    </row>
    <row r="395" spans="1:12" ht="11.25" customHeight="1" x14ac:dyDescent="0.2">
      <c r="A395" s="87" t="s">
        <v>508</v>
      </c>
      <c r="B395" s="314"/>
      <c r="C395" s="314"/>
      <c r="D395" s="314"/>
      <c r="E395" s="314"/>
      <c r="F395" s="314">
        <f t="shared" si="68"/>
        <v>0</v>
      </c>
      <c r="G395" s="314">
        <f t="shared" si="72"/>
        <v>0</v>
      </c>
      <c r="H395" s="314"/>
      <c r="I395" s="314"/>
      <c r="J395" s="314">
        <f t="shared" si="69"/>
        <v>0</v>
      </c>
      <c r="K395" s="316">
        <f t="shared" si="73"/>
        <v>0</v>
      </c>
      <c r="L395" s="314"/>
    </row>
    <row r="396" spans="1:12" ht="11.25" customHeight="1" x14ac:dyDescent="0.2">
      <c r="A396" s="87" t="s">
        <v>426</v>
      </c>
      <c r="B396" s="314"/>
      <c r="C396" s="314"/>
      <c r="D396" s="314"/>
      <c r="E396" s="314"/>
      <c r="F396" s="314">
        <f t="shared" si="68"/>
        <v>0</v>
      </c>
      <c r="G396" s="314">
        <f t="shared" si="72"/>
        <v>0</v>
      </c>
      <c r="H396" s="314"/>
      <c r="I396" s="314"/>
      <c r="J396" s="314">
        <f t="shared" si="69"/>
        <v>0</v>
      </c>
      <c r="K396" s="316">
        <f t="shared" si="73"/>
        <v>0</v>
      </c>
      <c r="L396" s="314"/>
    </row>
    <row r="397" spans="1:12" ht="11.25" customHeight="1" x14ac:dyDescent="0.2">
      <c r="A397" s="87" t="s">
        <v>420</v>
      </c>
      <c r="B397" s="314"/>
      <c r="C397" s="314"/>
      <c r="D397" s="314"/>
      <c r="E397" s="314"/>
      <c r="F397" s="314">
        <f t="shared" si="68"/>
        <v>0</v>
      </c>
      <c r="G397" s="314">
        <f t="shared" si="72"/>
        <v>0</v>
      </c>
      <c r="H397" s="314"/>
      <c r="I397" s="314"/>
      <c r="J397" s="314">
        <f t="shared" si="69"/>
        <v>0</v>
      </c>
      <c r="K397" s="316">
        <f t="shared" si="73"/>
        <v>0</v>
      </c>
      <c r="L397" s="314"/>
    </row>
    <row r="398" spans="1:12" ht="11.25" customHeight="1" x14ac:dyDescent="0.2">
      <c r="A398" s="54" t="s">
        <v>302</v>
      </c>
      <c r="B398" s="314">
        <f>SUM(B399:B403)</f>
        <v>1215000</v>
      </c>
      <c r="C398" s="314">
        <f>SUM(C399:C403)</f>
        <v>1635000</v>
      </c>
      <c r="D398" s="314">
        <f>SUM(D399:D403)</f>
        <v>397105.91999999998</v>
      </c>
      <c r="E398" s="314">
        <f>SUM(E399:E403)</f>
        <v>1577267.95</v>
      </c>
      <c r="F398" s="314">
        <f t="shared" si="68"/>
        <v>0.1275453359007491</v>
      </c>
      <c r="G398" s="314">
        <f>SUM(G399:G403)</f>
        <v>57732.050000000047</v>
      </c>
      <c r="H398" s="314">
        <f>SUM(H399:H403)</f>
        <v>401802.66</v>
      </c>
      <c r="I398" s="314">
        <f>SUM(I399:I403)</f>
        <v>1570168.73</v>
      </c>
      <c r="J398" s="314">
        <f t="shared" si="69"/>
        <v>0.13455360876463077</v>
      </c>
      <c r="K398" s="316">
        <f>SUM(K399:K403)</f>
        <v>64831.270000000019</v>
      </c>
      <c r="L398" s="314">
        <f>SUM(L399:L403)</f>
        <v>7099.22</v>
      </c>
    </row>
    <row r="399" spans="1:12" ht="11.25" customHeight="1" x14ac:dyDescent="0.2">
      <c r="A399" s="87" t="s">
        <v>509</v>
      </c>
      <c r="B399" s="314"/>
      <c r="C399" s="314"/>
      <c r="D399" s="314"/>
      <c r="E399" s="314"/>
      <c r="F399" s="314">
        <f t="shared" si="68"/>
        <v>0</v>
      </c>
      <c r="G399" s="314">
        <f>C399-E399</f>
        <v>0</v>
      </c>
      <c r="H399" s="314"/>
      <c r="I399" s="314"/>
      <c r="J399" s="314">
        <f t="shared" si="69"/>
        <v>0</v>
      </c>
      <c r="K399" s="316">
        <f>C399-I399</f>
        <v>0</v>
      </c>
      <c r="L399" s="314"/>
    </row>
    <row r="400" spans="1:12" ht="11.25" customHeight="1" x14ac:dyDescent="0.2">
      <c r="A400" s="87" t="s">
        <v>510</v>
      </c>
      <c r="B400" s="314">
        <v>1215000</v>
      </c>
      <c r="C400" s="314">
        <v>1635000</v>
      </c>
      <c r="D400" s="314">
        <v>397105.91999999998</v>
      </c>
      <c r="E400" s="314">
        <v>1577267.95</v>
      </c>
      <c r="F400" s="314">
        <f t="shared" si="68"/>
        <v>0.1275453359007491</v>
      </c>
      <c r="G400" s="314">
        <f>C400-E400</f>
        <v>57732.050000000047</v>
      </c>
      <c r="H400" s="314">
        <v>401802.66</v>
      </c>
      <c r="I400" s="314">
        <v>1570168.73</v>
      </c>
      <c r="J400" s="314">
        <f t="shared" si="69"/>
        <v>0.13455360876463077</v>
      </c>
      <c r="K400" s="316">
        <f>C400-I400</f>
        <v>64831.270000000019</v>
      </c>
      <c r="L400" s="314">
        <v>7099.22</v>
      </c>
    </row>
    <row r="401" spans="1:12" ht="11.25" customHeight="1" x14ac:dyDescent="0.2">
      <c r="A401" s="87" t="s">
        <v>511</v>
      </c>
      <c r="B401" s="314"/>
      <c r="C401" s="314"/>
      <c r="D401" s="314"/>
      <c r="E401" s="314"/>
      <c r="F401" s="314">
        <f t="shared" si="68"/>
        <v>0</v>
      </c>
      <c r="G401" s="314">
        <f>C401-E401</f>
        <v>0</v>
      </c>
      <c r="H401" s="314"/>
      <c r="I401" s="314"/>
      <c r="J401" s="314">
        <f t="shared" si="69"/>
        <v>0</v>
      </c>
      <c r="K401" s="316">
        <f>C401-I401</f>
        <v>0</v>
      </c>
      <c r="L401" s="314"/>
    </row>
    <row r="402" spans="1:12" ht="11.25" customHeight="1" x14ac:dyDescent="0.2">
      <c r="A402" s="87" t="s">
        <v>426</v>
      </c>
      <c r="B402" s="314"/>
      <c r="C402" s="314"/>
      <c r="D402" s="314"/>
      <c r="E402" s="314"/>
      <c r="F402" s="314">
        <f t="shared" si="68"/>
        <v>0</v>
      </c>
      <c r="G402" s="314">
        <f>C402-E402</f>
        <v>0</v>
      </c>
      <c r="H402" s="314"/>
      <c r="I402" s="314"/>
      <c r="J402" s="314">
        <f t="shared" si="69"/>
        <v>0</v>
      </c>
      <c r="K402" s="316">
        <f>C402-I402</f>
        <v>0</v>
      </c>
      <c r="L402" s="314"/>
    </row>
    <row r="403" spans="1:12" ht="11.25" customHeight="1" x14ac:dyDescent="0.2">
      <c r="A403" s="87" t="s">
        <v>420</v>
      </c>
      <c r="B403" s="314"/>
      <c r="C403" s="314"/>
      <c r="D403" s="314"/>
      <c r="E403" s="314"/>
      <c r="F403" s="314">
        <f t="shared" si="68"/>
        <v>0</v>
      </c>
      <c r="G403" s="314">
        <f>C403-E403</f>
        <v>0</v>
      </c>
      <c r="H403" s="314"/>
      <c r="I403" s="314"/>
      <c r="J403" s="314">
        <f t="shared" si="69"/>
        <v>0</v>
      </c>
      <c r="K403" s="316">
        <f>C403-I403</f>
        <v>0</v>
      </c>
      <c r="L403" s="314"/>
    </row>
    <row r="404" spans="1:12" ht="11.25" customHeight="1" x14ac:dyDescent="0.2">
      <c r="A404" s="54" t="s">
        <v>303</v>
      </c>
      <c r="B404" s="314">
        <f>SUM(B405:B413)</f>
        <v>405000</v>
      </c>
      <c r="C404" s="314">
        <f>SUM(C405:C413)</f>
        <v>408000</v>
      </c>
      <c r="D404" s="314">
        <f>SUM(D405:D413)</f>
        <v>70708.47</v>
      </c>
      <c r="E404" s="314">
        <f>SUM(E405:E413)</f>
        <v>391407.84</v>
      </c>
      <c r="F404" s="314">
        <f t="shared" si="68"/>
        <v>3.1651086568383426E-2</v>
      </c>
      <c r="G404" s="314">
        <f>SUM(G405:G413)</f>
        <v>16592.159999999974</v>
      </c>
      <c r="H404" s="314">
        <f>SUM(H405:H413)</f>
        <v>81584.539999999994</v>
      </c>
      <c r="I404" s="314">
        <f>SUM(I405:I413)</f>
        <v>389269.08</v>
      </c>
      <c r="J404" s="314">
        <f t="shared" si="69"/>
        <v>3.3357917842681634E-2</v>
      </c>
      <c r="K404" s="316">
        <f>SUM(K405:K413)</f>
        <v>18730.919999999984</v>
      </c>
      <c r="L404" s="314">
        <f>SUM(L405:L413)</f>
        <v>2138.7600000000002</v>
      </c>
    </row>
    <row r="405" spans="1:12" ht="11.25" customHeight="1" x14ac:dyDescent="0.2">
      <c r="A405" s="87" t="s">
        <v>512</v>
      </c>
      <c r="B405" s="314"/>
      <c r="C405" s="314"/>
      <c r="D405" s="314"/>
      <c r="E405" s="314"/>
      <c r="F405" s="314">
        <f t="shared" si="68"/>
        <v>0</v>
      </c>
      <c r="G405" s="314">
        <f t="shared" ref="G405:G412" si="74">C405-E405</f>
        <v>0</v>
      </c>
      <c r="H405" s="314"/>
      <c r="I405" s="314"/>
      <c r="J405" s="314">
        <f t="shared" si="69"/>
        <v>0</v>
      </c>
      <c r="K405" s="316">
        <f t="shared" ref="K405:K412" si="75">C405-I405</f>
        <v>0</v>
      </c>
      <c r="L405" s="314"/>
    </row>
    <row r="406" spans="1:12" ht="11.25" customHeight="1" x14ac:dyDescent="0.2">
      <c r="A406" s="87" t="s">
        <v>513</v>
      </c>
      <c r="B406" s="314"/>
      <c r="C406" s="314"/>
      <c r="D406" s="314"/>
      <c r="E406" s="314"/>
      <c r="F406" s="314">
        <f t="shared" si="68"/>
        <v>0</v>
      </c>
      <c r="G406" s="314">
        <f t="shared" si="74"/>
        <v>0</v>
      </c>
      <c r="H406" s="314"/>
      <c r="I406" s="314"/>
      <c r="J406" s="314">
        <f t="shared" si="69"/>
        <v>0</v>
      </c>
      <c r="K406" s="316">
        <f t="shared" si="75"/>
        <v>0</v>
      </c>
      <c r="L406" s="314"/>
    </row>
    <row r="407" spans="1:12" ht="11.25" customHeight="1" x14ac:dyDescent="0.2">
      <c r="A407" s="87" t="s">
        <v>514</v>
      </c>
      <c r="B407" s="314"/>
      <c r="C407" s="314"/>
      <c r="D407" s="314"/>
      <c r="E407" s="314"/>
      <c r="F407" s="314">
        <f t="shared" si="68"/>
        <v>0</v>
      </c>
      <c r="G407" s="314">
        <f t="shared" si="74"/>
        <v>0</v>
      </c>
      <c r="H407" s="314"/>
      <c r="I407" s="314"/>
      <c r="J407" s="314">
        <f t="shared" si="69"/>
        <v>0</v>
      </c>
      <c r="K407" s="316">
        <f t="shared" si="75"/>
        <v>0</v>
      </c>
      <c r="L407" s="314"/>
    </row>
    <row r="408" spans="1:12" ht="11.25" customHeight="1" x14ac:dyDescent="0.2">
      <c r="A408" s="87" t="s">
        <v>515</v>
      </c>
      <c r="B408" s="314"/>
      <c r="C408" s="314"/>
      <c r="D408" s="314"/>
      <c r="E408" s="314"/>
      <c r="F408" s="314">
        <f t="shared" si="68"/>
        <v>0</v>
      </c>
      <c r="G408" s="314">
        <f t="shared" si="74"/>
        <v>0</v>
      </c>
      <c r="H408" s="314"/>
      <c r="I408" s="314"/>
      <c r="J408" s="314">
        <f t="shared" si="69"/>
        <v>0</v>
      </c>
      <c r="K408" s="316">
        <f t="shared" si="75"/>
        <v>0</v>
      </c>
      <c r="L408" s="314"/>
    </row>
    <row r="409" spans="1:12" ht="11.25" customHeight="1" x14ac:dyDescent="0.2">
      <c r="A409" s="87" t="s">
        <v>516</v>
      </c>
      <c r="B409" s="314"/>
      <c r="C409" s="314"/>
      <c r="D409" s="314"/>
      <c r="E409" s="314"/>
      <c r="F409" s="314">
        <f t="shared" si="68"/>
        <v>0</v>
      </c>
      <c r="G409" s="314">
        <f t="shared" si="74"/>
        <v>0</v>
      </c>
      <c r="H409" s="314"/>
      <c r="I409" s="314"/>
      <c r="J409" s="314">
        <f t="shared" si="69"/>
        <v>0</v>
      </c>
      <c r="K409" s="316">
        <f t="shared" si="75"/>
        <v>0</v>
      </c>
      <c r="L409" s="314"/>
    </row>
    <row r="410" spans="1:12" ht="11.25" customHeight="1" x14ac:dyDescent="0.2">
      <c r="A410" s="87" t="s">
        <v>517</v>
      </c>
      <c r="B410" s="314">
        <v>405000</v>
      </c>
      <c r="C410" s="314">
        <v>408000</v>
      </c>
      <c r="D410" s="314">
        <v>70708.47</v>
      </c>
      <c r="E410" s="314">
        <v>391407.84</v>
      </c>
      <c r="F410" s="314">
        <f t="shared" si="68"/>
        <v>3.1651086568383426E-2</v>
      </c>
      <c r="G410" s="314">
        <f t="shared" si="74"/>
        <v>16592.159999999974</v>
      </c>
      <c r="H410" s="314">
        <v>81584.539999999994</v>
      </c>
      <c r="I410" s="314">
        <v>389269.08</v>
      </c>
      <c r="J410" s="314">
        <f t="shared" si="69"/>
        <v>3.3357917842681634E-2</v>
      </c>
      <c r="K410" s="316">
        <f t="shared" si="75"/>
        <v>18730.919999999984</v>
      </c>
      <c r="L410" s="314">
        <v>2138.7600000000002</v>
      </c>
    </row>
    <row r="411" spans="1:12" ht="11.25" customHeight="1" x14ac:dyDescent="0.2">
      <c r="A411" s="87" t="s">
        <v>707</v>
      </c>
      <c r="B411" s="314"/>
      <c r="C411" s="314"/>
      <c r="D411" s="314"/>
      <c r="E411" s="314"/>
      <c r="F411" s="314">
        <f t="shared" si="68"/>
        <v>0</v>
      </c>
      <c r="G411" s="314">
        <f t="shared" si="74"/>
        <v>0</v>
      </c>
      <c r="H411" s="314"/>
      <c r="I411" s="314"/>
      <c r="J411" s="314">
        <f t="shared" si="69"/>
        <v>0</v>
      </c>
      <c r="K411" s="316">
        <f t="shared" si="75"/>
        <v>0</v>
      </c>
      <c r="L411" s="314"/>
    </row>
    <row r="412" spans="1:12" ht="11.25" customHeight="1" x14ac:dyDescent="0.2">
      <c r="A412" s="87" t="s">
        <v>420</v>
      </c>
      <c r="B412" s="814"/>
      <c r="C412" s="814"/>
      <c r="D412" s="814"/>
      <c r="E412" s="814"/>
      <c r="F412" s="814">
        <f t="shared" si="68"/>
        <v>0</v>
      </c>
      <c r="G412" s="814">
        <f t="shared" si="74"/>
        <v>0</v>
      </c>
      <c r="H412" s="814"/>
      <c r="I412" s="814"/>
      <c r="J412" s="814">
        <f t="shared" si="69"/>
        <v>0</v>
      </c>
      <c r="K412" s="812">
        <f t="shared" si="75"/>
        <v>0</v>
      </c>
      <c r="L412" s="814"/>
    </row>
    <row r="413" spans="1:12" ht="11.25" customHeight="1" x14ac:dyDescent="0.2">
      <c r="A413" s="54" t="s">
        <v>69</v>
      </c>
      <c r="B413" s="814"/>
      <c r="C413" s="814"/>
      <c r="D413" s="814"/>
      <c r="E413" s="814"/>
      <c r="F413" s="814"/>
      <c r="G413" s="814"/>
      <c r="H413" s="814"/>
      <c r="I413" s="814"/>
      <c r="J413" s="814"/>
      <c r="K413" s="812"/>
      <c r="L413" s="814"/>
    </row>
    <row r="414" spans="1:12" ht="11.25" customHeight="1" x14ac:dyDescent="0.2">
      <c r="A414" s="918" t="s">
        <v>1031</v>
      </c>
      <c r="B414" s="921"/>
      <c r="C414" s="921"/>
      <c r="D414" s="921"/>
      <c r="E414" s="921"/>
      <c r="F414" s="921"/>
      <c r="G414" s="921"/>
      <c r="H414" s="921"/>
      <c r="I414" s="921"/>
      <c r="J414" s="921"/>
      <c r="K414" s="921"/>
      <c r="L414" s="921"/>
    </row>
    <row r="415" spans="1:12" ht="11.25" customHeight="1" x14ac:dyDescent="0.2">
      <c r="A415" s="925" t="s">
        <v>525</v>
      </c>
      <c r="B415" s="925"/>
      <c r="C415" s="925"/>
      <c r="D415" s="23"/>
      <c r="E415" s="23"/>
      <c r="F415" s="23"/>
      <c r="G415" s="23"/>
      <c r="H415" s="23"/>
      <c r="I415" s="23"/>
      <c r="J415" s="23"/>
      <c r="K415" s="23"/>
      <c r="L415" s="23"/>
    </row>
    <row r="418" spans="1:11" s="868" customFormat="1" ht="11.25" customHeight="1" x14ac:dyDescent="0.2">
      <c r="A418" s="872" t="s">
        <v>1024</v>
      </c>
      <c r="B418" s="881"/>
      <c r="C418" s="881"/>
      <c r="D418" s="872" t="s">
        <v>1026</v>
      </c>
      <c r="E418" s="881"/>
      <c r="F418" s="882"/>
      <c r="G418" s="883"/>
      <c r="I418" s="881" t="s">
        <v>1028</v>
      </c>
      <c r="J418" s="881"/>
      <c r="K418" s="881"/>
    </row>
    <row r="419" spans="1:11" s="868" customFormat="1" ht="11.25" customHeight="1" x14ac:dyDescent="0.2">
      <c r="A419" s="872" t="s">
        <v>1025</v>
      </c>
      <c r="B419" s="882"/>
      <c r="C419" s="882"/>
      <c r="D419" s="881" t="s">
        <v>1027</v>
      </c>
      <c r="E419" s="881"/>
      <c r="F419" s="882"/>
      <c r="G419" s="883"/>
      <c r="I419" s="881" t="s">
        <v>1029</v>
      </c>
      <c r="J419" s="881"/>
      <c r="K419" s="881"/>
    </row>
    <row r="420" spans="1:11" s="868" customFormat="1" ht="11.25" customHeight="1" x14ac:dyDescent="0.2">
      <c r="D420" s="868" t="s">
        <v>1040</v>
      </c>
      <c r="G420" s="873"/>
      <c r="I420" s="881" t="s">
        <v>1041</v>
      </c>
      <c r="J420" s="881"/>
      <c r="K420" s="881"/>
    </row>
    <row r="421" spans="1:11" ht="11.25" customHeight="1" x14ac:dyDescent="0.2">
      <c r="D421" s="923"/>
      <c r="E421" s="924"/>
      <c r="F421" s="924"/>
      <c r="G421" s="924"/>
      <c r="H421" s="924"/>
    </row>
  </sheetData>
  <mergeCells count="14">
    <mergeCell ref="A11:L11"/>
    <mergeCell ref="A214:L214"/>
    <mergeCell ref="A13:L13"/>
    <mergeCell ref="D421:H421"/>
    <mergeCell ref="A414:L414"/>
    <mergeCell ref="A415:C415"/>
    <mergeCell ref="D218:F218"/>
    <mergeCell ref="H218:J218"/>
    <mergeCell ref="L218:L220"/>
    <mergeCell ref="A216:J216"/>
    <mergeCell ref="A215:C215"/>
    <mergeCell ref="H16:J16"/>
    <mergeCell ref="L16:L18"/>
    <mergeCell ref="D16:F16"/>
  </mergeCells>
  <phoneticPr fontId="3" type="noConversion"/>
  <printOptions horizontalCentered="1"/>
  <pageMargins left="0.39370078740157483" right="0.39370078740157483" top="0.47244094488188981" bottom="0.47244094488188981" header="0" footer="0"/>
  <pageSetup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O72"/>
  <sheetViews>
    <sheetView showGridLines="0" topLeftCell="A22" zoomScaleNormal="100" zoomScaleSheetLayoutView="130" workbookViewId="0">
      <selection activeCell="A53" sqref="A53:O54"/>
    </sheetView>
  </sheetViews>
  <sheetFormatPr defaultColWidth="4.140625" defaultRowHeight="11.25" customHeight="1" x14ac:dyDescent="0.2"/>
  <cols>
    <col min="1" max="1" width="45.42578125" style="31" customWidth="1"/>
    <col min="2" max="5" width="12.85546875" style="31" bestFit="1" customWidth="1"/>
    <col min="6" max="7" width="12.85546875" style="31" customWidth="1"/>
    <col min="8" max="8" width="12.85546875" style="30" customWidth="1"/>
    <col min="9" max="13" width="12.85546875" style="31" customWidth="1"/>
    <col min="14" max="15" width="14.28515625" style="31" bestFit="1" customWidth="1"/>
    <col min="16" max="16384" width="4.140625" style="31"/>
  </cols>
  <sheetData>
    <row r="1" spans="1:15" ht="12.75" x14ac:dyDescent="0.2"/>
    <row r="2" spans="1:15" ht="25.5" customHeight="1" x14ac:dyDescent="0.35">
      <c r="A2" s="847" t="s">
        <v>1019</v>
      </c>
    </row>
    <row r="3" spans="1:15" ht="15.75" customHeight="1" x14ac:dyDescent="0.25">
      <c r="A3" s="84" t="s">
        <v>1020</v>
      </c>
    </row>
    <row r="4" spans="1:15" ht="15.75" customHeight="1" x14ac:dyDescent="0.25">
      <c r="A4" s="84" t="s">
        <v>1021</v>
      </c>
    </row>
    <row r="5" spans="1:15" ht="15.75" customHeight="1" x14ac:dyDescent="0.25">
      <c r="A5" s="84" t="s">
        <v>1022</v>
      </c>
    </row>
    <row r="6" spans="1:15" ht="15.75" x14ac:dyDescent="0.25">
      <c r="A6" s="45" t="s">
        <v>88</v>
      </c>
    </row>
    <row r="7" spans="1:15" ht="12.75" x14ac:dyDescent="0.2">
      <c r="A7" s="24"/>
    </row>
    <row r="8" spans="1:15" ht="12.75" x14ac:dyDescent="0.2">
      <c r="A8" s="843" t="s">
        <v>1019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</row>
    <row r="9" spans="1:15" ht="12.75" x14ac:dyDescent="0.2">
      <c r="A9" s="216" t="s">
        <v>74</v>
      </c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</row>
    <row r="10" spans="1:15" ht="12.75" x14ac:dyDescent="0.2">
      <c r="A10" s="217" t="s">
        <v>123</v>
      </c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</row>
    <row r="11" spans="1:15" ht="12.75" x14ac:dyDescent="0.2">
      <c r="A11" s="920" t="s">
        <v>76</v>
      </c>
      <c r="B11" s="920"/>
      <c r="C11" s="920"/>
      <c r="D11" s="920"/>
      <c r="E11" s="920"/>
      <c r="F11" s="920"/>
      <c r="G11" s="920"/>
      <c r="H11" s="920"/>
      <c r="I11" s="920"/>
      <c r="J11" s="920"/>
      <c r="K11" s="920"/>
      <c r="L11" s="920"/>
      <c r="M11" s="920"/>
      <c r="N11" s="920"/>
      <c r="O11" s="920"/>
    </row>
    <row r="12" spans="1:15" ht="12.75" x14ac:dyDescent="0.2">
      <c r="A12" s="846" t="s">
        <v>1023</v>
      </c>
      <c r="B12" s="764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2.75" hidden="1" x14ac:dyDescent="0.2">
      <c r="A13" s="920"/>
      <c r="B13" s="920"/>
      <c r="C13" s="920"/>
      <c r="D13" s="920"/>
      <c r="E13" s="920"/>
      <c r="F13" s="920"/>
      <c r="G13" s="920"/>
      <c r="H13" s="920"/>
      <c r="I13" s="920"/>
      <c r="J13" s="920"/>
      <c r="K13" s="920"/>
      <c r="L13" s="920"/>
      <c r="M13" s="920"/>
      <c r="N13" s="920"/>
      <c r="O13" s="920"/>
    </row>
    <row r="14" spans="1:15" ht="12.75" hidden="1" x14ac:dyDescent="0.2">
      <c r="A14" s="922"/>
      <c r="B14" s="922"/>
      <c r="C14" s="922"/>
      <c r="D14" s="922"/>
      <c r="E14" s="922"/>
      <c r="F14" s="922"/>
      <c r="G14" s="922"/>
      <c r="H14" s="922"/>
      <c r="I14" s="922"/>
      <c r="J14" s="922"/>
      <c r="K14" s="922"/>
      <c r="L14" s="922"/>
      <c r="M14" s="922"/>
      <c r="N14" s="922"/>
      <c r="O14" s="922"/>
    </row>
    <row r="15" spans="1:15" ht="12.75" x14ac:dyDescent="0.2">
      <c r="A15" s="216"/>
      <c r="B15" s="216"/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  <c r="O15" s="216"/>
    </row>
    <row r="16" spans="1:15" ht="11.25" hidden="1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1.25" customHeight="1" x14ac:dyDescent="0.2">
      <c r="A17" s="31" t="s">
        <v>359</v>
      </c>
      <c r="H17" s="33"/>
      <c r="O17" s="34" t="s">
        <v>417</v>
      </c>
    </row>
    <row r="18" spans="1:15" ht="11.25" customHeight="1" x14ac:dyDescent="0.2">
      <c r="A18" s="63"/>
      <c r="B18" s="936" t="s">
        <v>124</v>
      </c>
      <c r="C18" s="937"/>
      <c r="D18" s="937"/>
      <c r="E18" s="937"/>
      <c r="F18" s="937"/>
      <c r="G18" s="937"/>
      <c r="H18" s="937"/>
      <c r="I18" s="937"/>
      <c r="J18" s="937"/>
      <c r="K18" s="937"/>
      <c r="L18" s="937"/>
      <c r="M18" s="938"/>
      <c r="N18" s="64" t="s">
        <v>122</v>
      </c>
      <c r="O18" s="210" t="s">
        <v>77</v>
      </c>
    </row>
    <row r="19" spans="1:15" ht="11.25" customHeight="1" x14ac:dyDescent="0.2">
      <c r="A19" s="65" t="s">
        <v>125</v>
      </c>
      <c r="B19" s="939"/>
      <c r="C19" s="940"/>
      <c r="D19" s="940"/>
      <c r="E19" s="940"/>
      <c r="F19" s="940"/>
      <c r="G19" s="940"/>
      <c r="H19" s="940"/>
      <c r="I19" s="940"/>
      <c r="J19" s="940"/>
      <c r="K19" s="940"/>
      <c r="L19" s="940"/>
      <c r="M19" s="941"/>
      <c r="N19" s="66" t="s">
        <v>126</v>
      </c>
      <c r="O19" s="212" t="s">
        <v>81</v>
      </c>
    </row>
    <row r="20" spans="1:15" ht="11.25" customHeight="1" x14ac:dyDescent="0.2">
      <c r="A20" s="68"/>
      <c r="B20" s="69" t="s">
        <v>182</v>
      </c>
      <c r="C20" s="69" t="s">
        <v>183</v>
      </c>
      <c r="D20" s="69" t="s">
        <v>184</v>
      </c>
      <c r="E20" s="69" t="s">
        <v>185</v>
      </c>
      <c r="F20" s="69" t="s">
        <v>186</v>
      </c>
      <c r="G20" s="69" t="s">
        <v>187</v>
      </c>
      <c r="H20" s="69" t="s">
        <v>188</v>
      </c>
      <c r="I20" s="69" t="s">
        <v>189</v>
      </c>
      <c r="J20" s="69" t="s">
        <v>190</v>
      </c>
      <c r="K20" s="69" t="s">
        <v>191</v>
      </c>
      <c r="L20" s="69" t="s">
        <v>192</v>
      </c>
      <c r="M20" s="69" t="s">
        <v>193</v>
      </c>
      <c r="N20" s="70" t="s">
        <v>127</v>
      </c>
      <c r="O20" s="180" t="s">
        <v>128</v>
      </c>
    </row>
    <row r="21" spans="1:15" s="60" customFormat="1" ht="12.75" x14ac:dyDescent="0.2">
      <c r="A21" s="59" t="s">
        <v>129</v>
      </c>
      <c r="B21" s="315">
        <f t="shared" ref="B21:M21" si="0">B22+B28+B29+B32+B33+B34+B35+B44</f>
        <v>106848950.90000001</v>
      </c>
      <c r="C21" s="315">
        <f t="shared" si="0"/>
        <v>94420286.299999997</v>
      </c>
      <c r="D21" s="315">
        <f t="shared" si="0"/>
        <v>124342631.69</v>
      </c>
      <c r="E21" s="315">
        <f t="shared" si="0"/>
        <v>93665505.530000001</v>
      </c>
      <c r="F21" s="315">
        <f t="shared" si="0"/>
        <v>88846338.830000013</v>
      </c>
      <c r="G21" s="315">
        <f t="shared" si="0"/>
        <v>82827105.529999986</v>
      </c>
      <c r="H21" s="312">
        <f t="shared" si="0"/>
        <v>102438271.66000001</v>
      </c>
      <c r="I21" s="315">
        <f t="shared" si="0"/>
        <v>89555021.959999993</v>
      </c>
      <c r="J21" s="315">
        <f t="shared" si="0"/>
        <v>82291109.709999993</v>
      </c>
      <c r="K21" s="315">
        <f t="shared" si="0"/>
        <v>101369874.80999999</v>
      </c>
      <c r="L21" s="315">
        <f t="shared" si="0"/>
        <v>92898536.030000001</v>
      </c>
      <c r="M21" s="316">
        <f t="shared" si="0"/>
        <v>126328514.74000001</v>
      </c>
      <c r="N21" s="315">
        <f t="shared" ref="N21:N49" si="1">SUM(B21:M21)</f>
        <v>1185832147.6900001</v>
      </c>
      <c r="O21" s="312">
        <f>O22+O28+O29+O32+O33+O34+O35+O44</f>
        <v>1093766483.26</v>
      </c>
    </row>
    <row r="22" spans="1:15" ht="12.75" x14ac:dyDescent="0.2">
      <c r="A22" s="35" t="s">
        <v>833</v>
      </c>
      <c r="B22" s="316">
        <f t="shared" ref="B22:M22" si="2">SUM(B23:B27)</f>
        <v>14253711.930000002</v>
      </c>
      <c r="C22" s="316">
        <f t="shared" si="2"/>
        <v>20911934.07</v>
      </c>
      <c r="D22" s="316">
        <f t="shared" si="2"/>
        <v>54884018.50999999</v>
      </c>
      <c r="E22" s="316">
        <f t="shared" si="2"/>
        <v>25140700.02</v>
      </c>
      <c r="F22" s="316">
        <f t="shared" si="2"/>
        <v>26612004.059999999</v>
      </c>
      <c r="G22" s="316">
        <f t="shared" si="2"/>
        <v>23425856.869999997</v>
      </c>
      <c r="H22" s="314">
        <f t="shared" si="2"/>
        <v>25017169.490000002</v>
      </c>
      <c r="I22" s="316">
        <f t="shared" si="2"/>
        <v>29395823.489999998</v>
      </c>
      <c r="J22" s="316">
        <f t="shared" si="2"/>
        <v>26765561.650000002</v>
      </c>
      <c r="K22" s="316">
        <f t="shared" si="2"/>
        <v>27053162.239999998</v>
      </c>
      <c r="L22" s="316">
        <f t="shared" si="2"/>
        <v>28436345.800000001</v>
      </c>
      <c r="M22" s="316">
        <f t="shared" si="2"/>
        <v>32113013.039999999</v>
      </c>
      <c r="N22" s="316">
        <f t="shared" si="1"/>
        <v>334009301.17000002</v>
      </c>
      <c r="O22" s="314">
        <f>SUM(O23:O27)</f>
        <v>282536009.31999999</v>
      </c>
    </row>
    <row r="23" spans="1:15" ht="12.75" x14ac:dyDescent="0.2">
      <c r="A23" s="35" t="s">
        <v>651</v>
      </c>
      <c r="B23" s="310">
        <v>2666527.63</v>
      </c>
      <c r="C23" s="310">
        <v>7097521.5300000003</v>
      </c>
      <c r="D23" s="310">
        <v>33484992.800000001</v>
      </c>
      <c r="E23" s="310">
        <v>8749239.5899999999</v>
      </c>
      <c r="F23" s="310">
        <v>8797358.9900000002</v>
      </c>
      <c r="G23" s="310">
        <v>8217627.9000000004</v>
      </c>
      <c r="H23" s="311">
        <v>8912159.0099999998</v>
      </c>
      <c r="I23" s="310">
        <v>8867236.9499999993</v>
      </c>
      <c r="J23" s="310">
        <v>9137236.8800000008</v>
      </c>
      <c r="K23" s="310">
        <v>8899479.7400000002</v>
      </c>
      <c r="L23" s="310">
        <v>8407913.5999999996</v>
      </c>
      <c r="M23" s="310">
        <v>9437839.0700000003</v>
      </c>
      <c r="N23" s="316">
        <f t="shared" si="1"/>
        <v>122675133.69</v>
      </c>
      <c r="O23" s="311">
        <v>111775000</v>
      </c>
    </row>
    <row r="24" spans="1:15" ht="12.75" x14ac:dyDescent="0.2">
      <c r="A24" s="35" t="s">
        <v>652</v>
      </c>
      <c r="B24" s="310">
        <v>7917271.1699999999</v>
      </c>
      <c r="C24" s="310">
        <v>7076544.5099999998</v>
      </c>
      <c r="D24" s="310">
        <v>8118303.5599999996</v>
      </c>
      <c r="E24" s="310">
        <v>8273069.6799999997</v>
      </c>
      <c r="F24" s="310">
        <v>7778439.4500000002</v>
      </c>
      <c r="G24" s="310">
        <v>7763935.3899999997</v>
      </c>
      <c r="H24" s="311">
        <v>7570292.75</v>
      </c>
      <c r="I24" s="310">
        <v>8892488.9800000004</v>
      </c>
      <c r="J24" s="310">
        <v>8779662.4399999995</v>
      </c>
      <c r="K24" s="310">
        <v>9744483.5899999999</v>
      </c>
      <c r="L24" s="310">
        <v>10846945.460000001</v>
      </c>
      <c r="M24" s="310">
        <v>8810022.1699999999</v>
      </c>
      <c r="N24" s="316">
        <f t="shared" si="1"/>
        <v>101571459.14999999</v>
      </c>
      <c r="O24" s="311">
        <v>86668000</v>
      </c>
    </row>
    <row r="25" spans="1:15" ht="12.75" x14ac:dyDescent="0.2">
      <c r="A25" s="35" t="s">
        <v>653</v>
      </c>
      <c r="B25" s="310">
        <v>2304606.2400000002</v>
      </c>
      <c r="C25" s="310">
        <v>2456226.62</v>
      </c>
      <c r="D25" s="310">
        <v>2165926.69</v>
      </c>
      <c r="E25" s="310">
        <v>2524697.84</v>
      </c>
      <c r="F25" s="310">
        <v>4011392.16</v>
      </c>
      <c r="G25" s="310">
        <v>1973568.72</v>
      </c>
      <c r="H25" s="311">
        <v>2432226.52</v>
      </c>
      <c r="I25" s="310">
        <v>5717048.9299999997</v>
      </c>
      <c r="J25" s="310">
        <v>2886802.68</v>
      </c>
      <c r="K25" s="310">
        <v>2870888.08</v>
      </c>
      <c r="L25" s="310">
        <v>2069138.28</v>
      </c>
      <c r="M25" s="310">
        <v>3608653.3</v>
      </c>
      <c r="N25" s="316">
        <f t="shared" si="1"/>
        <v>35021176.060000002</v>
      </c>
      <c r="O25" s="311">
        <v>24225500</v>
      </c>
    </row>
    <row r="26" spans="1:15" ht="12.75" x14ac:dyDescent="0.2">
      <c r="A26" s="35" t="s">
        <v>518</v>
      </c>
      <c r="B26" s="310">
        <v>303471.17</v>
      </c>
      <c r="C26" s="310">
        <v>2544589.19</v>
      </c>
      <c r="D26" s="310">
        <v>2298017.73</v>
      </c>
      <c r="E26" s="310">
        <v>2704044.06</v>
      </c>
      <c r="F26" s="310">
        <v>3096051.83</v>
      </c>
      <c r="G26" s="310">
        <v>3015166.22</v>
      </c>
      <c r="H26" s="311">
        <v>3374891.98</v>
      </c>
      <c r="I26" s="310">
        <v>3442701.29</v>
      </c>
      <c r="J26" s="310">
        <v>3524968.37</v>
      </c>
      <c r="K26" s="310">
        <v>3033862.94</v>
      </c>
      <c r="L26" s="310">
        <v>4865887.9000000004</v>
      </c>
      <c r="M26" s="310">
        <v>7560531.1699999999</v>
      </c>
      <c r="N26" s="316">
        <f t="shared" si="1"/>
        <v>39764183.850000001</v>
      </c>
      <c r="O26" s="311">
        <v>29397509.32</v>
      </c>
    </row>
    <row r="27" spans="1:15" ht="12.75" x14ac:dyDescent="0.2">
      <c r="A27" s="35" t="s">
        <v>834</v>
      </c>
      <c r="B27" s="310">
        <v>1061835.72</v>
      </c>
      <c r="C27" s="310">
        <v>1737052.22</v>
      </c>
      <c r="D27" s="310">
        <v>8816777.7300000004</v>
      </c>
      <c r="E27" s="310">
        <v>2889648.85</v>
      </c>
      <c r="F27" s="310">
        <v>2928761.63</v>
      </c>
      <c r="G27" s="310">
        <v>2455558.64</v>
      </c>
      <c r="H27" s="311">
        <v>2727599.23</v>
      </c>
      <c r="I27" s="310">
        <v>2476347.34</v>
      </c>
      <c r="J27" s="310">
        <v>2436891.2799999998</v>
      </c>
      <c r="K27" s="310">
        <v>2504447.89</v>
      </c>
      <c r="L27" s="310">
        <v>2246460.56</v>
      </c>
      <c r="M27" s="310">
        <v>2695967.33</v>
      </c>
      <c r="N27" s="316">
        <f t="shared" si="1"/>
        <v>34977348.420000002</v>
      </c>
      <c r="O27" s="311">
        <v>30470000</v>
      </c>
    </row>
    <row r="28" spans="1:15" ht="12.75" x14ac:dyDescent="0.2">
      <c r="A28" s="35" t="s">
        <v>130</v>
      </c>
      <c r="B28" s="310">
        <v>6308068.1500000004</v>
      </c>
      <c r="C28" s="310">
        <v>4598573.5999999996</v>
      </c>
      <c r="D28" s="310">
        <v>5428417.9000000004</v>
      </c>
      <c r="E28" s="310">
        <v>4999643.8899999997</v>
      </c>
      <c r="F28" s="310">
        <v>4980521.08</v>
      </c>
      <c r="G28" s="310">
        <v>5063200.28</v>
      </c>
      <c r="H28" s="311">
        <v>4998825.9800000004</v>
      </c>
      <c r="I28" s="310">
        <v>5133553.43</v>
      </c>
      <c r="J28" s="310">
        <v>5118633.42</v>
      </c>
      <c r="K28" s="310">
        <v>5066202.97</v>
      </c>
      <c r="L28" s="310">
        <v>5172922.34</v>
      </c>
      <c r="M28" s="310">
        <v>5741537.6900000004</v>
      </c>
      <c r="N28" s="316">
        <f t="shared" si="1"/>
        <v>62610100.729999989</v>
      </c>
      <c r="O28" s="311">
        <v>58798350</v>
      </c>
    </row>
    <row r="29" spans="1:15" ht="12.75" x14ac:dyDescent="0.2">
      <c r="A29" s="35" t="s">
        <v>131</v>
      </c>
      <c r="B29" s="310">
        <f t="shared" ref="B29:M29" si="3">SUM(B30:B31)</f>
        <v>2339548.5299999998</v>
      </c>
      <c r="C29" s="310">
        <f t="shared" si="3"/>
        <v>2409466.67</v>
      </c>
      <c r="D29" s="310">
        <f t="shared" si="3"/>
        <v>2137608.98</v>
      </c>
      <c r="E29" s="310">
        <f t="shared" si="3"/>
        <v>2792320.38</v>
      </c>
      <c r="F29" s="310">
        <f t="shared" si="3"/>
        <v>2701869.23</v>
      </c>
      <c r="G29" s="310">
        <f t="shared" si="3"/>
        <v>2254176.09</v>
      </c>
      <c r="H29" s="311">
        <f t="shared" si="3"/>
        <v>2724821.79</v>
      </c>
      <c r="I29" s="310">
        <f t="shared" si="3"/>
        <v>2307317.2300000004</v>
      </c>
      <c r="J29" s="310">
        <f t="shared" si="3"/>
        <v>2042337.6099999999</v>
      </c>
      <c r="K29" s="310">
        <f t="shared" si="3"/>
        <v>2153390.66</v>
      </c>
      <c r="L29" s="310">
        <f t="shared" si="3"/>
        <v>1456461.3099999998</v>
      </c>
      <c r="M29" s="310">
        <f t="shared" si="3"/>
        <v>1216668.75</v>
      </c>
      <c r="N29" s="316">
        <f t="shared" si="1"/>
        <v>26535987.229999997</v>
      </c>
      <c r="O29" s="311">
        <f>SUM(O30:O31)</f>
        <v>26096598.370000001</v>
      </c>
    </row>
    <row r="30" spans="1:15" ht="12.75" x14ac:dyDescent="0.2">
      <c r="A30" s="35" t="s">
        <v>831</v>
      </c>
      <c r="B30" s="310">
        <v>2259835.02</v>
      </c>
      <c r="C30" s="310">
        <v>2198806.81</v>
      </c>
      <c r="D30" s="310">
        <v>1922134.69</v>
      </c>
      <c r="E30" s="310">
        <v>2692814.8</v>
      </c>
      <c r="F30" s="310">
        <v>2606746.2799999998</v>
      </c>
      <c r="G30" s="310">
        <v>2163702.2599999998</v>
      </c>
      <c r="H30" s="311">
        <v>2625001.2000000002</v>
      </c>
      <c r="I30" s="310">
        <v>2199591.4900000002</v>
      </c>
      <c r="J30" s="310">
        <v>1945315.18</v>
      </c>
      <c r="K30" s="310">
        <v>2044631.35</v>
      </c>
      <c r="L30" s="310">
        <v>1295773.3899999999</v>
      </c>
      <c r="M30" s="310">
        <v>1101173.58</v>
      </c>
      <c r="N30" s="316">
        <f t="shared" si="1"/>
        <v>25055526.049999997</v>
      </c>
      <c r="O30" s="311">
        <v>24977598.370000001</v>
      </c>
    </row>
    <row r="31" spans="1:15" ht="12.75" x14ac:dyDescent="0.2">
      <c r="A31" s="35" t="s">
        <v>832</v>
      </c>
      <c r="B31" s="310">
        <v>79713.509999999995</v>
      </c>
      <c r="C31" s="310">
        <v>210659.86</v>
      </c>
      <c r="D31" s="310">
        <v>215474.29</v>
      </c>
      <c r="E31" s="310">
        <v>99505.58</v>
      </c>
      <c r="F31" s="310">
        <v>95122.95</v>
      </c>
      <c r="G31" s="310">
        <v>90473.83</v>
      </c>
      <c r="H31" s="311">
        <v>99820.59</v>
      </c>
      <c r="I31" s="310">
        <v>107725.74</v>
      </c>
      <c r="J31" s="310">
        <v>97022.43</v>
      </c>
      <c r="K31" s="310">
        <v>108759.31</v>
      </c>
      <c r="L31" s="310">
        <v>160687.92000000001</v>
      </c>
      <c r="M31" s="310">
        <v>115495.17</v>
      </c>
      <c r="N31" s="316">
        <f t="shared" si="1"/>
        <v>1480461.1799999997</v>
      </c>
      <c r="O31" s="311">
        <v>1119000</v>
      </c>
    </row>
    <row r="32" spans="1:15" ht="12.75" x14ac:dyDescent="0.2">
      <c r="A32" s="35" t="s">
        <v>132</v>
      </c>
      <c r="B32" s="310"/>
      <c r="C32" s="310"/>
      <c r="D32" s="310"/>
      <c r="E32" s="310"/>
      <c r="F32" s="310"/>
      <c r="G32" s="310"/>
      <c r="H32" s="311"/>
      <c r="I32" s="310"/>
      <c r="J32" s="310"/>
      <c r="K32" s="310"/>
      <c r="L32" s="310"/>
      <c r="M32" s="310"/>
      <c r="N32" s="316">
        <f t="shared" si="1"/>
        <v>0</v>
      </c>
      <c r="O32" s="311"/>
    </row>
    <row r="33" spans="1:15" ht="12.75" x14ac:dyDescent="0.2">
      <c r="A33" s="35" t="s">
        <v>133</v>
      </c>
      <c r="B33" s="316"/>
      <c r="C33" s="316"/>
      <c r="D33" s="316"/>
      <c r="E33" s="316"/>
      <c r="F33" s="316"/>
      <c r="G33" s="316"/>
      <c r="H33" s="314"/>
      <c r="I33" s="316"/>
      <c r="J33" s="316"/>
      <c r="K33" s="316"/>
      <c r="L33" s="316"/>
      <c r="M33" s="316"/>
      <c r="N33" s="316">
        <f t="shared" si="1"/>
        <v>0</v>
      </c>
      <c r="O33" s="314"/>
    </row>
    <row r="34" spans="1:15" ht="12.75" x14ac:dyDescent="0.2">
      <c r="A34" s="35" t="s">
        <v>137</v>
      </c>
      <c r="B34" s="310">
        <v>9250063.5700000003</v>
      </c>
      <c r="C34" s="310">
        <v>9712632.2300000004</v>
      </c>
      <c r="D34" s="310">
        <v>10234649.699999999</v>
      </c>
      <c r="E34" s="310">
        <v>10063190.279999999</v>
      </c>
      <c r="F34" s="310">
        <v>9997388.5700000003</v>
      </c>
      <c r="G34" s="310">
        <v>9816527.8499999996</v>
      </c>
      <c r="H34" s="311">
        <v>11184361.42</v>
      </c>
      <c r="I34" s="310">
        <v>10038264.16</v>
      </c>
      <c r="J34" s="310">
        <v>9673973.5999999996</v>
      </c>
      <c r="K34" s="310">
        <v>10546091.359999999</v>
      </c>
      <c r="L34" s="310">
        <v>10652232.529999999</v>
      </c>
      <c r="M34" s="310">
        <v>12327012.859999999</v>
      </c>
      <c r="N34" s="316">
        <f t="shared" si="1"/>
        <v>123496388.13</v>
      </c>
      <c r="O34" s="311">
        <v>118347806.31</v>
      </c>
    </row>
    <row r="35" spans="1:15" ht="12.75" x14ac:dyDescent="0.2">
      <c r="A35" s="35" t="s">
        <v>134</v>
      </c>
      <c r="B35" s="310">
        <f t="shared" ref="B35:M35" si="4">SUM(B36:B43)</f>
        <v>73304984.209999993</v>
      </c>
      <c r="C35" s="310">
        <f t="shared" si="4"/>
        <v>55487707.059999995</v>
      </c>
      <c r="D35" s="310">
        <f t="shared" si="4"/>
        <v>50672440.620000005</v>
      </c>
      <c r="E35" s="310">
        <f t="shared" si="4"/>
        <v>49540086.740000002</v>
      </c>
      <c r="F35" s="310">
        <f t="shared" si="4"/>
        <v>43041472.270000003</v>
      </c>
      <c r="G35" s="310">
        <f t="shared" si="4"/>
        <v>40083507.450000003</v>
      </c>
      <c r="H35" s="311">
        <f t="shared" si="4"/>
        <v>57256474.150000006</v>
      </c>
      <c r="I35" s="310">
        <f t="shared" si="4"/>
        <v>41254331.100000001</v>
      </c>
      <c r="J35" s="310">
        <f t="shared" si="4"/>
        <v>36754657.519999996</v>
      </c>
      <c r="K35" s="310">
        <f t="shared" si="4"/>
        <v>54929952.75</v>
      </c>
      <c r="L35" s="310">
        <f t="shared" si="4"/>
        <v>45617304.939999998</v>
      </c>
      <c r="M35" s="310">
        <f t="shared" si="4"/>
        <v>73169851.719999999</v>
      </c>
      <c r="N35" s="316">
        <f t="shared" si="1"/>
        <v>621112770.52999997</v>
      </c>
      <c r="O35" s="311">
        <f>SUM(O36:O43)</f>
        <v>596841819.25999999</v>
      </c>
    </row>
    <row r="36" spans="1:15" ht="12.75" x14ac:dyDescent="0.2">
      <c r="A36" s="35" t="s">
        <v>654</v>
      </c>
      <c r="B36" s="310">
        <v>6620280.6100000003</v>
      </c>
      <c r="C36" s="310">
        <v>7271981.8600000003</v>
      </c>
      <c r="D36" s="310">
        <v>5444846.1600000001</v>
      </c>
      <c r="E36" s="310">
        <v>5312046.7300000004</v>
      </c>
      <c r="F36" s="310">
        <v>6817086.3700000001</v>
      </c>
      <c r="G36" s="310">
        <v>5369803.9699999997</v>
      </c>
      <c r="H36" s="311">
        <v>7343186.8200000003</v>
      </c>
      <c r="I36" s="310">
        <v>5360025.71</v>
      </c>
      <c r="J36" s="310">
        <v>4771213.3499999996</v>
      </c>
      <c r="K36" s="310">
        <v>4392521.5199999996</v>
      </c>
      <c r="L36" s="310">
        <v>5961280.25</v>
      </c>
      <c r="M36" s="310">
        <v>10162998.689999999</v>
      </c>
      <c r="N36" s="316">
        <f t="shared" si="1"/>
        <v>74827272.040000007</v>
      </c>
      <c r="O36" s="311">
        <v>75600000</v>
      </c>
    </row>
    <row r="37" spans="1:15" ht="12.75" x14ac:dyDescent="0.2">
      <c r="A37" s="35" t="s">
        <v>657</v>
      </c>
      <c r="B37" s="310">
        <v>21937977.309999999</v>
      </c>
      <c r="C37" s="310">
        <v>18643625.91</v>
      </c>
      <c r="D37" s="310">
        <v>19260288.600000001</v>
      </c>
      <c r="E37" s="310">
        <v>23280687.73</v>
      </c>
      <c r="F37" s="310">
        <v>17443217.510000002</v>
      </c>
      <c r="G37" s="310">
        <v>16933164.93</v>
      </c>
      <c r="H37" s="311">
        <v>25020714.18</v>
      </c>
      <c r="I37" s="310">
        <v>17918274.43</v>
      </c>
      <c r="J37" s="310">
        <v>14527561.449999999</v>
      </c>
      <c r="K37" s="310">
        <v>27691079.66</v>
      </c>
      <c r="L37" s="310">
        <v>20792991.82</v>
      </c>
      <c r="M37" s="310">
        <v>29977693.899999999</v>
      </c>
      <c r="N37" s="316">
        <f t="shared" si="1"/>
        <v>253427277.43000001</v>
      </c>
      <c r="O37" s="311">
        <v>241000000</v>
      </c>
    </row>
    <row r="38" spans="1:15" ht="12.75" x14ac:dyDescent="0.2">
      <c r="A38" s="35" t="s">
        <v>656</v>
      </c>
      <c r="B38" s="310">
        <v>24881390.309999999</v>
      </c>
      <c r="C38" s="310">
        <v>11787314.039999999</v>
      </c>
      <c r="D38" s="310">
        <v>7862756.5700000003</v>
      </c>
      <c r="E38" s="310">
        <v>2532127.81</v>
      </c>
      <c r="F38" s="310">
        <v>2478695.04</v>
      </c>
      <c r="G38" s="310">
        <v>1941476.19</v>
      </c>
      <c r="H38" s="311">
        <v>2485266.73</v>
      </c>
      <c r="I38" s="310">
        <v>2139827.67</v>
      </c>
      <c r="J38" s="310">
        <v>2303655.4500000002</v>
      </c>
      <c r="K38" s="310">
        <v>2136198.35</v>
      </c>
      <c r="L38" s="310">
        <v>1618985.84</v>
      </c>
      <c r="M38" s="310">
        <v>2697992.04</v>
      </c>
      <c r="N38" s="316">
        <f t="shared" si="1"/>
        <v>64865686.039999999</v>
      </c>
      <c r="O38" s="311">
        <v>61000000</v>
      </c>
    </row>
    <row r="39" spans="1:15" ht="12.75" x14ac:dyDescent="0.2">
      <c r="A39" s="35" t="s">
        <v>655</v>
      </c>
      <c r="B39" s="310">
        <v>2870.87</v>
      </c>
      <c r="C39" s="310">
        <v>2065.62</v>
      </c>
      <c r="D39" s="310">
        <v>40011.980000000003</v>
      </c>
      <c r="E39" s="310">
        <v>3832.64</v>
      </c>
      <c r="F39" s="310">
        <v>6087.48</v>
      </c>
      <c r="G39" s="310">
        <v>1291.3599999999999</v>
      </c>
      <c r="H39" s="311">
        <v>15053.53</v>
      </c>
      <c r="I39" s="310">
        <v>1813.2</v>
      </c>
      <c r="J39" s="310">
        <v>30352.19</v>
      </c>
      <c r="K39" s="310">
        <v>653111.67000000004</v>
      </c>
      <c r="L39" s="310">
        <v>18146.88</v>
      </c>
      <c r="M39" s="310">
        <v>18483.810000000001</v>
      </c>
      <c r="N39" s="316">
        <f t="shared" si="1"/>
        <v>793121.2300000001</v>
      </c>
      <c r="O39" s="311">
        <v>950000</v>
      </c>
    </row>
    <row r="40" spans="1:15" ht="12.75" x14ac:dyDescent="0.2">
      <c r="A40" s="35" t="s">
        <v>519</v>
      </c>
      <c r="B40" s="310">
        <v>0</v>
      </c>
      <c r="C40" s="310">
        <v>0</v>
      </c>
      <c r="D40" s="310">
        <v>0</v>
      </c>
      <c r="E40" s="310">
        <v>0</v>
      </c>
      <c r="F40" s="310">
        <v>0</v>
      </c>
      <c r="G40" s="310">
        <v>0</v>
      </c>
      <c r="H40" s="311">
        <v>0</v>
      </c>
      <c r="I40" s="310">
        <v>0</v>
      </c>
      <c r="J40" s="310">
        <v>0</v>
      </c>
      <c r="K40" s="310">
        <v>0</v>
      </c>
      <c r="L40" s="310">
        <v>0</v>
      </c>
      <c r="M40" s="310">
        <v>0</v>
      </c>
      <c r="N40" s="316">
        <f t="shared" si="1"/>
        <v>0</v>
      </c>
      <c r="O40" s="311">
        <v>1100000</v>
      </c>
    </row>
    <row r="41" spans="1:15" ht="12.75" x14ac:dyDescent="0.2">
      <c r="A41" s="35" t="s">
        <v>520</v>
      </c>
      <c r="B41" s="310">
        <v>175224.2</v>
      </c>
      <c r="C41" s="310">
        <v>128167.83</v>
      </c>
      <c r="D41" s="310">
        <v>140967.14000000001</v>
      </c>
      <c r="E41" s="310">
        <v>160064.25</v>
      </c>
      <c r="F41" s="310">
        <v>134672.68</v>
      </c>
      <c r="G41" s="310">
        <v>146930.42000000001</v>
      </c>
      <c r="H41" s="311">
        <v>156765.70000000001</v>
      </c>
      <c r="I41" s="310">
        <v>112373.07</v>
      </c>
      <c r="J41" s="310">
        <v>160794.49</v>
      </c>
      <c r="K41" s="310">
        <v>163899.25</v>
      </c>
      <c r="L41" s="310">
        <v>141906.79</v>
      </c>
      <c r="M41" s="310">
        <v>174406.01</v>
      </c>
      <c r="N41" s="316">
        <f t="shared" si="1"/>
        <v>1796171.8300000003</v>
      </c>
      <c r="O41" s="311">
        <v>1700000</v>
      </c>
    </row>
    <row r="42" spans="1:15" ht="12.75" x14ac:dyDescent="0.2">
      <c r="A42" s="35" t="s">
        <v>521</v>
      </c>
      <c r="B42" s="310">
        <v>13660429.640000001</v>
      </c>
      <c r="C42" s="310">
        <v>10137100.83</v>
      </c>
      <c r="D42" s="310">
        <v>9700520.9800000004</v>
      </c>
      <c r="E42" s="310">
        <v>10493704.630000001</v>
      </c>
      <c r="F42" s="310">
        <v>8156515.4800000004</v>
      </c>
      <c r="G42" s="310">
        <v>7741932.7599999998</v>
      </c>
      <c r="H42" s="311">
        <v>10808577.630000001</v>
      </c>
      <c r="I42" s="310">
        <v>8082300.5499999998</v>
      </c>
      <c r="J42" s="310">
        <v>6769072.6500000004</v>
      </c>
      <c r="K42" s="310">
        <v>11934431.75</v>
      </c>
      <c r="L42" s="310">
        <v>9153262</v>
      </c>
      <c r="M42" s="310">
        <v>13263263.529999999</v>
      </c>
      <c r="N42" s="316">
        <f t="shared" si="1"/>
        <v>119901112.43000001</v>
      </c>
      <c r="O42" s="311">
        <v>120172586.90000001</v>
      </c>
    </row>
    <row r="43" spans="1:15" ht="12.75" x14ac:dyDescent="0.2">
      <c r="A43" s="35" t="s">
        <v>522</v>
      </c>
      <c r="B43" s="310">
        <v>6026811.2699999996</v>
      </c>
      <c r="C43" s="310">
        <v>7517450.9699999997</v>
      </c>
      <c r="D43" s="310">
        <v>8223049.1900000004</v>
      </c>
      <c r="E43" s="310">
        <v>7757622.9500000002</v>
      </c>
      <c r="F43" s="310">
        <v>8005197.71</v>
      </c>
      <c r="G43" s="310">
        <v>7948907.8200000003</v>
      </c>
      <c r="H43" s="311">
        <v>11426909.560000001</v>
      </c>
      <c r="I43" s="310">
        <v>7639716.4699999997</v>
      </c>
      <c r="J43" s="310">
        <v>8192007.9400000004</v>
      </c>
      <c r="K43" s="310">
        <v>7958710.5499999998</v>
      </c>
      <c r="L43" s="310">
        <v>7930731.3600000003</v>
      </c>
      <c r="M43" s="310">
        <v>16875013.739999998</v>
      </c>
      <c r="N43" s="316">
        <f t="shared" si="1"/>
        <v>105502129.52999999</v>
      </c>
      <c r="O43" s="311">
        <v>95319232.359999999</v>
      </c>
    </row>
    <row r="44" spans="1:15" ht="12.75" x14ac:dyDescent="0.2">
      <c r="A44" s="35" t="s">
        <v>135</v>
      </c>
      <c r="B44" s="310">
        <v>1392574.51</v>
      </c>
      <c r="C44" s="310">
        <v>1299972.67</v>
      </c>
      <c r="D44" s="310">
        <v>985495.98</v>
      </c>
      <c r="E44" s="310">
        <v>1129564.22</v>
      </c>
      <c r="F44" s="310">
        <v>1513083.62</v>
      </c>
      <c r="G44" s="310">
        <v>2183836.9900000002</v>
      </c>
      <c r="H44" s="311">
        <v>1256618.83</v>
      </c>
      <c r="I44" s="310">
        <v>1425732.55</v>
      </c>
      <c r="J44" s="310">
        <v>1935945.91</v>
      </c>
      <c r="K44" s="310">
        <v>1621074.83</v>
      </c>
      <c r="L44" s="310">
        <v>1563269.11</v>
      </c>
      <c r="M44" s="310">
        <v>1760430.68</v>
      </c>
      <c r="N44" s="316">
        <f t="shared" si="1"/>
        <v>18067599.900000002</v>
      </c>
      <c r="O44" s="311">
        <v>11145900</v>
      </c>
    </row>
    <row r="45" spans="1:15" ht="12.75" x14ac:dyDescent="0.2">
      <c r="A45" s="61" t="s">
        <v>136</v>
      </c>
      <c r="B45" s="316">
        <f t="shared" ref="B45:M45" si="5">SUM(B46:B48)</f>
        <v>15146512.43</v>
      </c>
      <c r="C45" s="316">
        <f t="shared" si="5"/>
        <v>10185958.33</v>
      </c>
      <c r="D45" s="316">
        <f t="shared" si="5"/>
        <v>9182975.5399999991</v>
      </c>
      <c r="E45" s="316">
        <f t="shared" si="5"/>
        <v>9213498.0399999991</v>
      </c>
      <c r="F45" s="316">
        <f t="shared" si="5"/>
        <v>8370191.1899999995</v>
      </c>
      <c r="G45" s="316">
        <f t="shared" si="5"/>
        <v>8351688.1299999999</v>
      </c>
      <c r="H45" s="314">
        <f t="shared" si="5"/>
        <v>9423654.8800000008</v>
      </c>
      <c r="I45" s="316">
        <f t="shared" si="5"/>
        <v>8151325.0199999996</v>
      </c>
      <c r="J45" s="316">
        <f t="shared" si="5"/>
        <v>7461117.7300000004</v>
      </c>
      <c r="K45" s="316">
        <f t="shared" si="5"/>
        <v>10160439.5</v>
      </c>
      <c r="L45" s="316">
        <f t="shared" si="5"/>
        <v>8803401.9800000004</v>
      </c>
      <c r="M45" s="316">
        <f t="shared" si="5"/>
        <v>11858318.140000001</v>
      </c>
      <c r="N45" s="316">
        <f t="shared" si="1"/>
        <v>116309080.91</v>
      </c>
      <c r="O45" s="314">
        <f>SUM(O46:O48)</f>
        <v>109148300</v>
      </c>
    </row>
    <row r="46" spans="1:15" ht="12.75" x14ac:dyDescent="0.2">
      <c r="A46" s="35" t="s">
        <v>360</v>
      </c>
      <c r="B46" s="310">
        <v>4208724.87</v>
      </c>
      <c r="C46" s="310">
        <v>2397742.42</v>
      </c>
      <c r="D46" s="310">
        <v>2411839.0099999998</v>
      </c>
      <c r="E46" s="310">
        <v>2735691.48</v>
      </c>
      <c r="F46" s="310">
        <v>2763735.98</v>
      </c>
      <c r="G46" s="310">
        <v>2814637.88</v>
      </c>
      <c r="H46" s="311">
        <v>2833173.5</v>
      </c>
      <c r="I46" s="310">
        <v>2837127.34</v>
      </c>
      <c r="J46" s="310">
        <v>2840318.64</v>
      </c>
      <c r="K46" s="310">
        <v>2882730.59</v>
      </c>
      <c r="L46" s="310">
        <v>2865262.15</v>
      </c>
      <c r="M46" s="310">
        <v>3332256.67</v>
      </c>
      <c r="N46" s="316">
        <f t="shared" si="1"/>
        <v>34923240.530000001</v>
      </c>
      <c r="O46" s="311">
        <v>30998300</v>
      </c>
    </row>
    <row r="47" spans="1:15" ht="12.75" x14ac:dyDescent="0.2">
      <c r="A47" s="35" t="s">
        <v>178</v>
      </c>
      <c r="B47" s="310">
        <v>214238.91</v>
      </c>
      <c r="C47" s="310">
        <v>221584.87</v>
      </c>
      <c r="D47" s="310">
        <v>221348.66</v>
      </c>
      <c r="E47" s="310">
        <v>220054.76</v>
      </c>
      <c r="F47" s="310">
        <v>230503.45</v>
      </c>
      <c r="G47" s="310">
        <v>658516.84</v>
      </c>
      <c r="H47" s="311">
        <v>225068.18</v>
      </c>
      <c r="I47" s="310">
        <v>220851.13</v>
      </c>
      <c r="J47" s="310">
        <v>262083.7</v>
      </c>
      <c r="K47" s="310">
        <v>270346.87</v>
      </c>
      <c r="L47" s="310">
        <v>231477.54</v>
      </c>
      <c r="M47" s="310">
        <v>461000.12</v>
      </c>
      <c r="N47" s="316">
        <f t="shared" si="1"/>
        <v>3437075.0300000007</v>
      </c>
      <c r="O47" s="311">
        <v>3000000</v>
      </c>
    </row>
    <row r="48" spans="1:15" ht="12.75" x14ac:dyDescent="0.2">
      <c r="A48" s="35" t="s">
        <v>181</v>
      </c>
      <c r="B48" s="310">
        <v>10723548.65</v>
      </c>
      <c r="C48" s="310">
        <v>7566631.04</v>
      </c>
      <c r="D48" s="310">
        <v>6549787.8700000001</v>
      </c>
      <c r="E48" s="310">
        <v>6257751.7999999998</v>
      </c>
      <c r="F48" s="310">
        <v>5375951.7599999998</v>
      </c>
      <c r="G48" s="310">
        <v>4878533.41</v>
      </c>
      <c r="H48" s="311">
        <v>6365413.2000000002</v>
      </c>
      <c r="I48" s="310">
        <v>5093346.55</v>
      </c>
      <c r="J48" s="310">
        <v>4358715.3899999997</v>
      </c>
      <c r="K48" s="310">
        <v>7007362.04</v>
      </c>
      <c r="L48" s="310">
        <v>5706662.29</v>
      </c>
      <c r="M48" s="310">
        <v>8065061.3499999996</v>
      </c>
      <c r="N48" s="316">
        <f t="shared" si="1"/>
        <v>77948765.349999994</v>
      </c>
      <c r="O48" s="311">
        <v>75150000</v>
      </c>
    </row>
    <row r="49" spans="1:15" ht="12.75" x14ac:dyDescent="0.2">
      <c r="A49" s="62" t="s">
        <v>202</v>
      </c>
      <c r="B49" s="565">
        <f t="shared" ref="B49:M49" si="6">B21-B45</f>
        <v>91702438.469999999</v>
      </c>
      <c r="C49" s="565">
        <f t="shared" si="6"/>
        <v>84234327.969999999</v>
      </c>
      <c r="D49" s="565">
        <f t="shared" si="6"/>
        <v>115159656.15000001</v>
      </c>
      <c r="E49" s="565">
        <f t="shared" si="6"/>
        <v>84452007.49000001</v>
      </c>
      <c r="F49" s="564">
        <f t="shared" si="6"/>
        <v>80476147.640000015</v>
      </c>
      <c r="G49" s="565">
        <f t="shared" si="6"/>
        <v>74475417.399999991</v>
      </c>
      <c r="H49" s="564">
        <f t="shared" si="6"/>
        <v>93014616.780000016</v>
      </c>
      <c r="I49" s="564">
        <f t="shared" si="6"/>
        <v>81403696.939999998</v>
      </c>
      <c r="J49" s="565">
        <f t="shared" si="6"/>
        <v>74829991.979999989</v>
      </c>
      <c r="K49" s="565">
        <f t="shared" si="6"/>
        <v>91209435.309999987</v>
      </c>
      <c r="L49" s="565">
        <f t="shared" si="6"/>
        <v>84095134.049999997</v>
      </c>
      <c r="M49" s="565">
        <f t="shared" si="6"/>
        <v>114470196.60000001</v>
      </c>
      <c r="N49" s="564">
        <f t="shared" si="1"/>
        <v>1069523066.7799999</v>
      </c>
      <c r="O49" s="564">
        <f>O21-O45</f>
        <v>984618183.25999999</v>
      </c>
    </row>
    <row r="50" spans="1:15" ht="12.75" x14ac:dyDescent="0.2">
      <c r="A50" s="918" t="s">
        <v>1047</v>
      </c>
      <c r="B50" s="921"/>
      <c r="C50" s="921"/>
      <c r="D50" s="921"/>
      <c r="E50" s="921"/>
      <c r="F50" s="921"/>
      <c r="G50" s="921"/>
      <c r="H50" s="921"/>
      <c r="I50" s="921"/>
      <c r="J50" s="921"/>
      <c r="K50" s="921"/>
      <c r="L50" s="921"/>
      <c r="M50" s="921"/>
      <c r="N50" s="921"/>
      <c r="O50" s="921"/>
    </row>
    <row r="51" spans="1:15" ht="12.75" x14ac:dyDescent="0.2">
      <c r="A51" s="942" t="s">
        <v>1048</v>
      </c>
      <c r="B51" s="942"/>
      <c r="C51" s="942"/>
      <c r="D51" s="942"/>
      <c r="E51" s="942"/>
      <c r="F51" s="942"/>
      <c r="G51" s="942"/>
      <c r="H51" s="942"/>
      <c r="I51" s="942"/>
      <c r="J51" s="942"/>
      <c r="K51" s="942"/>
      <c r="L51" s="942"/>
      <c r="M51" s="942"/>
      <c r="N51" s="942"/>
      <c r="O51" s="942"/>
    </row>
    <row r="52" spans="1:15" ht="12.75" x14ac:dyDescent="0.2">
      <c r="A52" s="942"/>
      <c r="B52" s="942"/>
      <c r="C52" s="942"/>
      <c r="D52" s="942"/>
      <c r="E52" s="942"/>
      <c r="F52" s="942"/>
      <c r="G52" s="942"/>
      <c r="H52" s="942"/>
      <c r="I52" s="942"/>
      <c r="J52" s="942"/>
      <c r="K52" s="942"/>
      <c r="L52" s="942"/>
      <c r="M52" s="942"/>
      <c r="N52" s="942"/>
      <c r="O52" s="942"/>
    </row>
    <row r="53" spans="1:15" ht="12.75" x14ac:dyDescent="0.2">
      <c r="A53" s="943" t="s">
        <v>1049</v>
      </c>
      <c r="B53" s="943"/>
      <c r="C53" s="943"/>
      <c r="D53" s="943"/>
      <c r="E53" s="943"/>
      <c r="F53" s="943"/>
      <c r="G53" s="943"/>
      <c r="H53" s="943"/>
      <c r="I53" s="943"/>
      <c r="J53" s="943"/>
      <c r="K53" s="943"/>
      <c r="L53" s="943"/>
      <c r="M53" s="943"/>
      <c r="N53" s="943"/>
      <c r="O53" s="943"/>
    </row>
    <row r="54" spans="1:15" ht="12.75" x14ac:dyDescent="0.2">
      <c r="A54" s="943"/>
      <c r="B54" s="943"/>
      <c r="C54" s="943"/>
      <c r="D54" s="943"/>
      <c r="E54" s="943"/>
      <c r="F54" s="943"/>
      <c r="G54" s="943"/>
      <c r="H54" s="943"/>
      <c r="I54" s="943"/>
      <c r="J54" s="943"/>
      <c r="K54" s="943"/>
      <c r="L54" s="943"/>
      <c r="M54" s="943"/>
      <c r="N54" s="943"/>
      <c r="O54" s="943"/>
    </row>
    <row r="55" spans="1:15" ht="12.75" x14ac:dyDescent="0.2">
      <c r="A55" s="918"/>
      <c r="B55" s="921"/>
      <c r="C55" s="921"/>
      <c r="D55" s="921"/>
      <c r="E55" s="921"/>
      <c r="F55" s="921"/>
      <c r="G55" s="921"/>
      <c r="H55" s="921"/>
      <c r="I55" s="921"/>
      <c r="J55" s="921"/>
      <c r="K55" s="921"/>
      <c r="L55" s="921"/>
      <c r="M55" s="921"/>
      <c r="N55" s="921"/>
      <c r="O55" s="921"/>
    </row>
    <row r="56" spans="1:15" ht="12.75" x14ac:dyDescent="0.2">
      <c r="A56" s="30"/>
      <c r="B56" s="30"/>
      <c r="C56" s="30"/>
      <c r="D56" s="30"/>
      <c r="E56" s="30"/>
      <c r="F56" s="30"/>
      <c r="G56" s="30"/>
      <c r="I56" s="30"/>
      <c r="J56" s="30"/>
      <c r="K56" s="30"/>
      <c r="L56" s="30"/>
      <c r="M56" s="30"/>
      <c r="N56" s="30"/>
      <c r="O56" s="30"/>
    </row>
    <row r="57" spans="1:15" ht="12.75" x14ac:dyDescent="0.2"/>
    <row r="58" spans="1:15" ht="12.75" x14ac:dyDescent="0.2"/>
    <row r="59" spans="1:15" ht="12.75" x14ac:dyDescent="0.2">
      <c r="A59" s="870" t="s">
        <v>1024</v>
      </c>
      <c r="B59" s="74"/>
      <c r="C59" s="74"/>
      <c r="F59" s="872" t="s">
        <v>1026</v>
      </c>
      <c r="H59" s="872"/>
      <c r="I59" s="872"/>
      <c r="K59" s="74"/>
      <c r="L59" s="870" t="s">
        <v>1028</v>
      </c>
      <c r="N59" s="870"/>
      <c r="O59" s="870"/>
    </row>
    <row r="60" spans="1:15" ht="12.75" x14ac:dyDescent="0.2">
      <c r="A60" s="870" t="s">
        <v>1025</v>
      </c>
      <c r="B60" s="74"/>
      <c r="C60" s="74"/>
      <c r="F60" s="872" t="s">
        <v>1027</v>
      </c>
      <c r="H60" s="872"/>
      <c r="I60" s="872"/>
      <c r="K60" s="74"/>
      <c r="L60" s="74" t="s">
        <v>1029</v>
      </c>
      <c r="N60" s="74"/>
      <c r="O60" s="74"/>
    </row>
    <row r="61" spans="1:15" ht="12.75" x14ac:dyDescent="0.2">
      <c r="A61"/>
      <c r="B61"/>
      <c r="C61"/>
      <c r="F61" s="872" t="s">
        <v>1040</v>
      </c>
      <c r="H61" s="872"/>
      <c r="I61" s="872"/>
      <c r="J61"/>
      <c r="K61"/>
      <c r="L61" s="884" t="s">
        <v>1041</v>
      </c>
      <c r="N61" s="884"/>
      <c r="O61" s="884"/>
    </row>
    <row r="62" spans="1:15" ht="12.75" x14ac:dyDescent="0.2">
      <c r="A62"/>
      <c r="B62"/>
      <c r="C62"/>
      <c r="F62" s="872"/>
      <c r="H62" s="872"/>
      <c r="I62" s="872"/>
      <c r="J62"/>
      <c r="K62"/>
      <c r="L62" s="884"/>
      <c r="N62" s="884"/>
      <c r="O62" s="884"/>
    </row>
    <row r="63" spans="1:15" ht="12.75" x14ac:dyDescent="0.2"/>
    <row r="64" spans="1:15" s="60" customFormat="1" ht="12.75" x14ac:dyDescent="0.2">
      <c r="A64" s="31"/>
      <c r="B64" s="31"/>
      <c r="C64" s="31"/>
      <c r="D64" s="31"/>
      <c r="E64" s="31"/>
      <c r="F64" s="31"/>
      <c r="G64" s="31"/>
      <c r="H64" s="30"/>
      <c r="I64" s="31"/>
      <c r="J64" s="31"/>
      <c r="K64" s="31"/>
      <c r="L64" s="31"/>
      <c r="M64" s="31"/>
      <c r="N64" s="31"/>
      <c r="O64" s="31"/>
    </row>
    <row r="65" spans="1:15" ht="12.75" x14ac:dyDescent="0.2"/>
    <row r="66" spans="1:15" s="30" customFormat="1" ht="12.75" x14ac:dyDescent="0.2">
      <c r="A66" s="31"/>
      <c r="B66" s="31"/>
      <c r="C66" s="31"/>
      <c r="D66" s="31"/>
      <c r="E66" s="31"/>
      <c r="F66" s="31"/>
      <c r="G66" s="31"/>
      <c r="I66" s="31"/>
      <c r="J66" s="31"/>
      <c r="K66" s="31"/>
      <c r="L66" s="31"/>
      <c r="M66" s="31"/>
      <c r="N66" s="31"/>
      <c r="O66" s="31"/>
    </row>
    <row r="67" spans="1:15" ht="12.75" x14ac:dyDescent="0.2"/>
    <row r="68" spans="1:15" ht="12.75" x14ac:dyDescent="0.2"/>
    <row r="69" spans="1:15" ht="12.75" x14ac:dyDescent="0.2"/>
    <row r="70" spans="1:15" ht="12.75" x14ac:dyDescent="0.2"/>
    <row r="71" spans="1:15" ht="12.75" x14ac:dyDescent="0.2"/>
    <row r="72" spans="1:15" ht="12.75" x14ac:dyDescent="0.2"/>
  </sheetData>
  <mergeCells count="8">
    <mergeCell ref="B18:M19"/>
    <mergeCell ref="A11:O11"/>
    <mergeCell ref="A13:O13"/>
    <mergeCell ref="A14:O14"/>
    <mergeCell ref="A55:O55"/>
    <mergeCell ref="A50:O50"/>
    <mergeCell ref="A51:O52"/>
    <mergeCell ref="A53:O54"/>
  </mergeCells>
  <printOptions horizontalCentered="1"/>
  <pageMargins left="0.39370078740157483" right="0.39370078740157483" top="0.98425196850393704" bottom="0.98425196850393704" header="0" footer="0.19685039370078741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I212"/>
  <sheetViews>
    <sheetView showGridLines="0" topLeftCell="A17" zoomScaleNormal="100" workbookViewId="0">
      <selection activeCell="B53" sqref="B53:D53"/>
    </sheetView>
  </sheetViews>
  <sheetFormatPr defaultRowHeight="11.25" customHeight="1" x14ac:dyDescent="0.2"/>
  <cols>
    <col min="1" max="1" width="71" style="50" customWidth="1"/>
    <col min="2" max="9" width="18" style="50" customWidth="1"/>
    <col min="10" max="227" width="9.140625" style="50"/>
    <col min="228" max="228" width="71" style="50" customWidth="1"/>
    <col min="229" max="236" width="18" style="50" customWidth="1"/>
    <col min="237" max="238" width="12.7109375" style="50" customWidth="1"/>
    <col min="239" max="483" width="9.140625" style="50"/>
    <col min="484" max="484" width="71" style="50" customWidth="1"/>
    <col min="485" max="492" width="18" style="50" customWidth="1"/>
    <col min="493" max="494" width="12.7109375" style="50" customWidth="1"/>
    <col min="495" max="739" width="9.140625" style="50"/>
    <col min="740" max="740" width="71" style="50" customWidth="1"/>
    <col min="741" max="748" width="18" style="50" customWidth="1"/>
    <col min="749" max="750" width="12.7109375" style="50" customWidth="1"/>
    <col min="751" max="995" width="9.140625" style="50"/>
    <col min="996" max="996" width="71" style="50" customWidth="1"/>
    <col min="997" max="1004" width="18" style="50" customWidth="1"/>
    <col min="1005" max="1006" width="12.7109375" style="50" customWidth="1"/>
    <col min="1007" max="1251" width="9.140625" style="50"/>
    <col min="1252" max="1252" width="71" style="50" customWidth="1"/>
    <col min="1253" max="1260" width="18" style="50" customWidth="1"/>
    <col min="1261" max="1262" width="12.7109375" style="50" customWidth="1"/>
    <col min="1263" max="1507" width="9.140625" style="50"/>
    <col min="1508" max="1508" width="71" style="50" customWidth="1"/>
    <col min="1509" max="1516" width="18" style="50" customWidth="1"/>
    <col min="1517" max="1518" width="12.7109375" style="50" customWidth="1"/>
    <col min="1519" max="1763" width="9.140625" style="50"/>
    <col min="1764" max="1764" width="71" style="50" customWidth="1"/>
    <col min="1765" max="1772" width="18" style="50" customWidth="1"/>
    <col min="1773" max="1774" width="12.7109375" style="50" customWidth="1"/>
    <col min="1775" max="2019" width="9.140625" style="50"/>
    <col min="2020" max="2020" width="71" style="50" customWidth="1"/>
    <col min="2021" max="2028" width="18" style="50" customWidth="1"/>
    <col min="2029" max="2030" width="12.7109375" style="50" customWidth="1"/>
    <col min="2031" max="2275" width="9.140625" style="50"/>
    <col min="2276" max="2276" width="71" style="50" customWidth="1"/>
    <col min="2277" max="2284" width="18" style="50" customWidth="1"/>
    <col min="2285" max="2286" width="12.7109375" style="50" customWidth="1"/>
    <col min="2287" max="2531" width="9.140625" style="50"/>
    <col min="2532" max="2532" width="71" style="50" customWidth="1"/>
    <col min="2533" max="2540" width="18" style="50" customWidth="1"/>
    <col min="2541" max="2542" width="12.7109375" style="50" customWidth="1"/>
    <col min="2543" max="2787" width="9.140625" style="50"/>
    <col min="2788" max="2788" width="71" style="50" customWidth="1"/>
    <col min="2789" max="2796" width="18" style="50" customWidth="1"/>
    <col min="2797" max="2798" width="12.7109375" style="50" customWidth="1"/>
    <col min="2799" max="3043" width="9.140625" style="50"/>
    <col min="3044" max="3044" width="71" style="50" customWidth="1"/>
    <col min="3045" max="3052" width="18" style="50" customWidth="1"/>
    <col min="3053" max="3054" width="12.7109375" style="50" customWidth="1"/>
    <col min="3055" max="3299" width="9.140625" style="50"/>
    <col min="3300" max="3300" width="71" style="50" customWidth="1"/>
    <col min="3301" max="3308" width="18" style="50" customWidth="1"/>
    <col min="3309" max="3310" width="12.7109375" style="50" customWidth="1"/>
    <col min="3311" max="3555" width="9.140625" style="50"/>
    <col min="3556" max="3556" width="71" style="50" customWidth="1"/>
    <col min="3557" max="3564" width="18" style="50" customWidth="1"/>
    <col min="3565" max="3566" width="12.7109375" style="50" customWidth="1"/>
    <col min="3567" max="3811" width="9.140625" style="50"/>
    <col min="3812" max="3812" width="71" style="50" customWidth="1"/>
    <col min="3813" max="3820" width="18" style="50" customWidth="1"/>
    <col min="3821" max="3822" width="12.7109375" style="50" customWidth="1"/>
    <col min="3823" max="4067" width="9.140625" style="50"/>
    <col min="4068" max="4068" width="71" style="50" customWidth="1"/>
    <col min="4069" max="4076" width="18" style="50" customWidth="1"/>
    <col min="4077" max="4078" width="12.7109375" style="50" customWidth="1"/>
    <col min="4079" max="4323" width="9.140625" style="50"/>
    <col min="4324" max="4324" width="71" style="50" customWidth="1"/>
    <col min="4325" max="4332" width="18" style="50" customWidth="1"/>
    <col min="4333" max="4334" width="12.7109375" style="50" customWidth="1"/>
    <col min="4335" max="4579" width="9.140625" style="50"/>
    <col min="4580" max="4580" width="71" style="50" customWidth="1"/>
    <col min="4581" max="4588" width="18" style="50" customWidth="1"/>
    <col min="4589" max="4590" width="12.7109375" style="50" customWidth="1"/>
    <col min="4591" max="4835" width="9.140625" style="50"/>
    <col min="4836" max="4836" width="71" style="50" customWidth="1"/>
    <col min="4837" max="4844" width="18" style="50" customWidth="1"/>
    <col min="4845" max="4846" width="12.7109375" style="50" customWidth="1"/>
    <col min="4847" max="5091" width="9.140625" style="50"/>
    <col min="5092" max="5092" width="71" style="50" customWidth="1"/>
    <col min="5093" max="5100" width="18" style="50" customWidth="1"/>
    <col min="5101" max="5102" width="12.7109375" style="50" customWidth="1"/>
    <col min="5103" max="5347" width="9.140625" style="50"/>
    <col min="5348" max="5348" width="71" style="50" customWidth="1"/>
    <col min="5349" max="5356" width="18" style="50" customWidth="1"/>
    <col min="5357" max="5358" width="12.7109375" style="50" customWidth="1"/>
    <col min="5359" max="5603" width="9.140625" style="50"/>
    <col min="5604" max="5604" width="71" style="50" customWidth="1"/>
    <col min="5605" max="5612" width="18" style="50" customWidth="1"/>
    <col min="5613" max="5614" width="12.7109375" style="50" customWidth="1"/>
    <col min="5615" max="5859" width="9.140625" style="50"/>
    <col min="5860" max="5860" width="71" style="50" customWidth="1"/>
    <col min="5861" max="5868" width="18" style="50" customWidth="1"/>
    <col min="5869" max="5870" width="12.7109375" style="50" customWidth="1"/>
    <col min="5871" max="6115" width="9.140625" style="50"/>
    <col min="6116" max="6116" width="71" style="50" customWidth="1"/>
    <col min="6117" max="6124" width="18" style="50" customWidth="1"/>
    <col min="6125" max="6126" width="12.7109375" style="50" customWidth="1"/>
    <col min="6127" max="6371" width="9.140625" style="50"/>
    <col min="6372" max="6372" width="71" style="50" customWidth="1"/>
    <col min="6373" max="6380" width="18" style="50" customWidth="1"/>
    <col min="6381" max="6382" width="12.7109375" style="50" customWidth="1"/>
    <col min="6383" max="6627" width="9.140625" style="50"/>
    <col min="6628" max="6628" width="71" style="50" customWidth="1"/>
    <col min="6629" max="6636" width="18" style="50" customWidth="1"/>
    <col min="6637" max="6638" width="12.7109375" style="50" customWidth="1"/>
    <col min="6639" max="6883" width="9.140625" style="50"/>
    <col min="6884" max="6884" width="71" style="50" customWidth="1"/>
    <col min="6885" max="6892" width="18" style="50" customWidth="1"/>
    <col min="6893" max="6894" width="12.7109375" style="50" customWidth="1"/>
    <col min="6895" max="7139" width="9.140625" style="50"/>
    <col min="7140" max="7140" width="71" style="50" customWidth="1"/>
    <col min="7141" max="7148" width="18" style="50" customWidth="1"/>
    <col min="7149" max="7150" width="12.7109375" style="50" customWidth="1"/>
    <col min="7151" max="7395" width="9.140625" style="50"/>
    <col min="7396" max="7396" width="71" style="50" customWidth="1"/>
    <col min="7397" max="7404" width="18" style="50" customWidth="1"/>
    <col min="7405" max="7406" width="12.7109375" style="50" customWidth="1"/>
    <col min="7407" max="7651" width="9.140625" style="50"/>
    <col min="7652" max="7652" width="71" style="50" customWidth="1"/>
    <col min="7653" max="7660" width="18" style="50" customWidth="1"/>
    <col min="7661" max="7662" width="12.7109375" style="50" customWidth="1"/>
    <col min="7663" max="7907" width="9.140625" style="50"/>
    <col min="7908" max="7908" width="71" style="50" customWidth="1"/>
    <col min="7909" max="7916" width="18" style="50" customWidth="1"/>
    <col min="7917" max="7918" width="12.7109375" style="50" customWidth="1"/>
    <col min="7919" max="8163" width="9.140625" style="50"/>
    <col min="8164" max="8164" width="71" style="50" customWidth="1"/>
    <col min="8165" max="8172" width="18" style="50" customWidth="1"/>
    <col min="8173" max="8174" width="12.7109375" style="50" customWidth="1"/>
    <col min="8175" max="8419" width="9.140625" style="50"/>
    <col min="8420" max="8420" width="71" style="50" customWidth="1"/>
    <col min="8421" max="8428" width="18" style="50" customWidth="1"/>
    <col min="8429" max="8430" width="12.7109375" style="50" customWidth="1"/>
    <col min="8431" max="8675" width="9.140625" style="50"/>
    <col min="8676" max="8676" width="71" style="50" customWidth="1"/>
    <col min="8677" max="8684" width="18" style="50" customWidth="1"/>
    <col min="8685" max="8686" width="12.7109375" style="50" customWidth="1"/>
    <col min="8687" max="8931" width="9.140625" style="50"/>
    <col min="8932" max="8932" width="71" style="50" customWidth="1"/>
    <col min="8933" max="8940" width="18" style="50" customWidth="1"/>
    <col min="8941" max="8942" width="12.7109375" style="50" customWidth="1"/>
    <col min="8943" max="9187" width="9.140625" style="50"/>
    <col min="9188" max="9188" width="71" style="50" customWidth="1"/>
    <col min="9189" max="9196" width="18" style="50" customWidth="1"/>
    <col min="9197" max="9198" width="12.7109375" style="50" customWidth="1"/>
    <col min="9199" max="9443" width="9.140625" style="50"/>
    <col min="9444" max="9444" width="71" style="50" customWidth="1"/>
    <col min="9445" max="9452" width="18" style="50" customWidth="1"/>
    <col min="9453" max="9454" width="12.7109375" style="50" customWidth="1"/>
    <col min="9455" max="9699" width="9.140625" style="50"/>
    <col min="9700" max="9700" width="71" style="50" customWidth="1"/>
    <col min="9701" max="9708" width="18" style="50" customWidth="1"/>
    <col min="9709" max="9710" width="12.7109375" style="50" customWidth="1"/>
    <col min="9711" max="9955" width="9.140625" style="50"/>
    <col min="9956" max="9956" width="71" style="50" customWidth="1"/>
    <col min="9957" max="9964" width="18" style="50" customWidth="1"/>
    <col min="9965" max="9966" width="12.7109375" style="50" customWidth="1"/>
    <col min="9967" max="10211" width="9.140625" style="50"/>
    <col min="10212" max="10212" width="71" style="50" customWidth="1"/>
    <col min="10213" max="10220" width="18" style="50" customWidth="1"/>
    <col min="10221" max="10222" width="12.7109375" style="50" customWidth="1"/>
    <col min="10223" max="10467" width="9.140625" style="50"/>
    <col min="10468" max="10468" width="71" style="50" customWidth="1"/>
    <col min="10469" max="10476" width="18" style="50" customWidth="1"/>
    <col min="10477" max="10478" width="12.7109375" style="50" customWidth="1"/>
    <col min="10479" max="10723" width="9.140625" style="50"/>
    <col min="10724" max="10724" width="71" style="50" customWidth="1"/>
    <col min="10725" max="10732" width="18" style="50" customWidth="1"/>
    <col min="10733" max="10734" width="12.7109375" style="50" customWidth="1"/>
    <col min="10735" max="10979" width="9.140625" style="50"/>
    <col min="10980" max="10980" width="71" style="50" customWidth="1"/>
    <col min="10981" max="10988" width="18" style="50" customWidth="1"/>
    <col min="10989" max="10990" width="12.7109375" style="50" customWidth="1"/>
    <col min="10991" max="11235" width="9.140625" style="50"/>
    <col min="11236" max="11236" width="71" style="50" customWidth="1"/>
    <col min="11237" max="11244" width="18" style="50" customWidth="1"/>
    <col min="11245" max="11246" width="12.7109375" style="50" customWidth="1"/>
    <col min="11247" max="11491" width="9.140625" style="50"/>
    <col min="11492" max="11492" width="71" style="50" customWidth="1"/>
    <col min="11493" max="11500" width="18" style="50" customWidth="1"/>
    <col min="11501" max="11502" width="12.7109375" style="50" customWidth="1"/>
    <col min="11503" max="11747" width="9.140625" style="50"/>
    <col min="11748" max="11748" width="71" style="50" customWidth="1"/>
    <col min="11749" max="11756" width="18" style="50" customWidth="1"/>
    <col min="11757" max="11758" width="12.7109375" style="50" customWidth="1"/>
    <col min="11759" max="12003" width="9.140625" style="50"/>
    <col min="12004" max="12004" width="71" style="50" customWidth="1"/>
    <col min="12005" max="12012" width="18" style="50" customWidth="1"/>
    <col min="12013" max="12014" width="12.7109375" style="50" customWidth="1"/>
    <col min="12015" max="12259" width="9.140625" style="50"/>
    <col min="12260" max="12260" width="71" style="50" customWidth="1"/>
    <col min="12261" max="12268" width="18" style="50" customWidth="1"/>
    <col min="12269" max="12270" width="12.7109375" style="50" customWidth="1"/>
    <col min="12271" max="12515" width="9.140625" style="50"/>
    <col min="12516" max="12516" width="71" style="50" customWidth="1"/>
    <col min="12517" max="12524" width="18" style="50" customWidth="1"/>
    <col min="12525" max="12526" width="12.7109375" style="50" customWidth="1"/>
    <col min="12527" max="12771" width="9.140625" style="50"/>
    <col min="12772" max="12772" width="71" style="50" customWidth="1"/>
    <col min="12773" max="12780" width="18" style="50" customWidth="1"/>
    <col min="12781" max="12782" width="12.7109375" style="50" customWidth="1"/>
    <col min="12783" max="13027" width="9.140625" style="50"/>
    <col min="13028" max="13028" width="71" style="50" customWidth="1"/>
    <col min="13029" max="13036" width="18" style="50" customWidth="1"/>
    <col min="13037" max="13038" width="12.7109375" style="50" customWidth="1"/>
    <col min="13039" max="13283" width="9.140625" style="50"/>
    <col min="13284" max="13284" width="71" style="50" customWidth="1"/>
    <col min="13285" max="13292" width="18" style="50" customWidth="1"/>
    <col min="13293" max="13294" width="12.7109375" style="50" customWidth="1"/>
    <col min="13295" max="13539" width="9.140625" style="50"/>
    <col min="13540" max="13540" width="71" style="50" customWidth="1"/>
    <col min="13541" max="13548" width="18" style="50" customWidth="1"/>
    <col min="13549" max="13550" width="12.7109375" style="50" customWidth="1"/>
    <col min="13551" max="13795" width="9.140625" style="50"/>
    <col min="13796" max="13796" width="71" style="50" customWidth="1"/>
    <col min="13797" max="13804" width="18" style="50" customWidth="1"/>
    <col min="13805" max="13806" width="12.7109375" style="50" customWidth="1"/>
    <col min="13807" max="14051" width="9.140625" style="50"/>
    <col min="14052" max="14052" width="71" style="50" customWidth="1"/>
    <col min="14053" max="14060" width="18" style="50" customWidth="1"/>
    <col min="14061" max="14062" width="12.7109375" style="50" customWidth="1"/>
    <col min="14063" max="14307" width="9.140625" style="50"/>
    <col min="14308" max="14308" width="71" style="50" customWidth="1"/>
    <col min="14309" max="14316" width="18" style="50" customWidth="1"/>
    <col min="14317" max="14318" width="12.7109375" style="50" customWidth="1"/>
    <col min="14319" max="14563" width="9.140625" style="50"/>
    <col min="14564" max="14564" width="71" style="50" customWidth="1"/>
    <col min="14565" max="14572" width="18" style="50" customWidth="1"/>
    <col min="14573" max="14574" width="12.7109375" style="50" customWidth="1"/>
    <col min="14575" max="14819" width="9.140625" style="50"/>
    <col min="14820" max="14820" width="71" style="50" customWidth="1"/>
    <col min="14821" max="14828" width="18" style="50" customWidth="1"/>
    <col min="14829" max="14830" width="12.7109375" style="50" customWidth="1"/>
    <col min="14831" max="15075" width="9.140625" style="50"/>
    <col min="15076" max="15076" width="71" style="50" customWidth="1"/>
    <col min="15077" max="15084" width="18" style="50" customWidth="1"/>
    <col min="15085" max="15086" width="12.7109375" style="50" customWidth="1"/>
    <col min="15087" max="15331" width="9.140625" style="50"/>
    <col min="15332" max="15332" width="71" style="50" customWidth="1"/>
    <col min="15333" max="15340" width="18" style="50" customWidth="1"/>
    <col min="15341" max="15342" width="12.7109375" style="50" customWidth="1"/>
    <col min="15343" max="15587" width="9.140625" style="50"/>
    <col min="15588" max="15588" width="71" style="50" customWidth="1"/>
    <col min="15589" max="15596" width="18" style="50" customWidth="1"/>
    <col min="15597" max="15598" width="12.7109375" style="50" customWidth="1"/>
    <col min="15599" max="15843" width="9.140625" style="50"/>
    <col min="15844" max="15844" width="71" style="50" customWidth="1"/>
    <col min="15845" max="15852" width="18" style="50" customWidth="1"/>
    <col min="15853" max="15854" width="12.7109375" style="50" customWidth="1"/>
    <col min="15855" max="16099" width="9.140625" style="50"/>
    <col min="16100" max="16100" width="71" style="50" customWidth="1"/>
    <col min="16101" max="16108" width="18" style="50" customWidth="1"/>
    <col min="16109" max="16110" width="12.7109375" style="50" customWidth="1"/>
    <col min="16111" max="16384" width="9.140625" style="50"/>
  </cols>
  <sheetData>
    <row r="1" spans="1:6" ht="12.75" x14ac:dyDescent="0.2"/>
    <row r="2" spans="1:6" ht="25.5" customHeight="1" x14ac:dyDescent="0.35">
      <c r="A2" s="848" t="s">
        <v>1019</v>
      </c>
    </row>
    <row r="3" spans="1:6" ht="15.75" customHeight="1" x14ac:dyDescent="0.25">
      <c r="A3" s="849" t="s">
        <v>1020</v>
      </c>
    </row>
    <row r="4" spans="1:6" ht="15.75" customHeight="1" x14ac:dyDescent="0.25">
      <c r="A4" s="849" t="s">
        <v>1021</v>
      </c>
    </row>
    <row r="5" spans="1:6" ht="15.75" customHeight="1" x14ac:dyDescent="0.25">
      <c r="A5" s="849" t="s">
        <v>1022</v>
      </c>
    </row>
    <row r="6" spans="1:6" ht="15.75" x14ac:dyDescent="0.25">
      <c r="A6" s="45" t="s">
        <v>784</v>
      </c>
    </row>
    <row r="7" spans="1:6" ht="12.75" x14ac:dyDescent="0.2">
      <c r="A7" s="24"/>
    </row>
    <row r="8" spans="1:6" ht="12.75" x14ac:dyDescent="0.2">
      <c r="A8" s="843" t="s">
        <v>1019</v>
      </c>
      <c r="B8" s="894"/>
      <c r="C8" s="894"/>
      <c r="D8" s="894"/>
      <c r="E8" s="894"/>
      <c r="F8" s="894"/>
    </row>
    <row r="9" spans="1:6" ht="12.75" x14ac:dyDescent="0.2">
      <c r="A9" s="894" t="s">
        <v>74</v>
      </c>
      <c r="B9" s="894"/>
      <c r="C9" s="894"/>
      <c r="D9" s="894"/>
      <c r="E9" s="894"/>
      <c r="F9" s="894"/>
    </row>
    <row r="10" spans="1:6" ht="12.75" x14ac:dyDescent="0.2">
      <c r="A10" s="447" t="s">
        <v>750</v>
      </c>
      <c r="B10" s="447"/>
      <c r="C10" s="447"/>
      <c r="D10" s="447"/>
      <c r="E10" s="447"/>
      <c r="F10" s="447"/>
    </row>
    <row r="11" spans="1:6" ht="12.75" x14ac:dyDescent="0.2">
      <c r="A11" s="922" t="s">
        <v>138</v>
      </c>
      <c r="B11" s="922"/>
      <c r="C11" s="922"/>
      <c r="D11" s="922"/>
      <c r="E11" s="922"/>
      <c r="F11" s="922"/>
    </row>
    <row r="12" spans="1:6" ht="12.75" x14ac:dyDescent="0.2">
      <c r="A12" s="846" t="s">
        <v>1023</v>
      </c>
      <c r="B12" s="764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29"/>
      <c r="D12" s="29"/>
      <c r="E12" s="29"/>
      <c r="F12" s="29"/>
    </row>
    <row r="13" spans="1:6" ht="12.75" hidden="1" x14ac:dyDescent="0.2">
      <c r="A13" s="922"/>
      <c r="B13" s="922"/>
      <c r="C13" s="922"/>
      <c r="D13" s="922"/>
      <c r="E13" s="922"/>
      <c r="F13" s="922"/>
    </row>
    <row r="14" spans="1:6" ht="12.75" hidden="1" x14ac:dyDescent="0.2">
      <c r="A14" s="922"/>
      <c r="B14" s="922"/>
      <c r="C14" s="922"/>
      <c r="D14" s="922"/>
      <c r="E14" s="922"/>
      <c r="F14" s="922"/>
    </row>
    <row r="15" spans="1:6" ht="12.75" x14ac:dyDescent="0.2">
      <c r="A15" s="875"/>
      <c r="B15" s="875"/>
      <c r="C15" s="875"/>
      <c r="D15" s="875"/>
      <c r="E15" s="875"/>
      <c r="F15" s="875"/>
    </row>
    <row r="16" spans="1:6" ht="11.25" hidden="1" customHeight="1" x14ac:dyDescent="0.2">
      <c r="A16" s="29"/>
      <c r="B16" s="29"/>
      <c r="C16" s="29"/>
      <c r="D16" s="29"/>
      <c r="E16" s="29"/>
      <c r="F16" s="29"/>
    </row>
    <row r="17" spans="1:6" ht="12.75" x14ac:dyDescent="0.2">
      <c r="A17" s="50" t="s">
        <v>361</v>
      </c>
      <c r="E17" s="33" t="s">
        <v>417</v>
      </c>
    </row>
    <row r="18" spans="1:6" ht="12.75" customHeight="1" x14ac:dyDescent="0.2">
      <c r="A18" s="57"/>
      <c r="B18" s="956" t="s">
        <v>524</v>
      </c>
      <c r="C18" s="956" t="s">
        <v>207</v>
      </c>
      <c r="D18" s="950" t="s">
        <v>78</v>
      </c>
      <c r="E18" s="959"/>
      <c r="F18" s="238"/>
    </row>
    <row r="19" spans="1:6" ht="12.75" customHeight="1" x14ac:dyDescent="0.2">
      <c r="A19" s="81" t="s">
        <v>756</v>
      </c>
      <c r="B19" s="957"/>
      <c r="C19" s="957"/>
      <c r="D19" s="878" t="str">
        <f>CONCATENATE("No ", B12)</f>
        <v>No Bimestre</v>
      </c>
      <c r="E19" s="877" t="str">
        <f>CONCATENATE("Até o  ", B12)</f>
        <v>Até o  Bimestre</v>
      </c>
      <c r="F19" s="238"/>
    </row>
    <row r="20" spans="1:6" ht="12.75" customHeight="1" x14ac:dyDescent="0.2">
      <c r="A20" s="46"/>
      <c r="B20" s="958"/>
      <c r="C20" s="958"/>
      <c r="D20" s="221" t="s">
        <v>159</v>
      </c>
      <c r="E20" s="880" t="s">
        <v>160</v>
      </c>
      <c r="F20" s="238"/>
    </row>
    <row r="21" spans="1:6" ht="12.75" x14ac:dyDescent="0.2">
      <c r="A21" s="30" t="s">
        <v>749</v>
      </c>
      <c r="B21" s="812">
        <f>B22+B31+B40+B44+B45</f>
        <v>87625200</v>
      </c>
      <c r="C21" s="812">
        <f>C22+C31+C40+C44+C45</f>
        <v>87625200</v>
      </c>
      <c r="D21" s="812">
        <f>D22+D31+D40+D44+D45</f>
        <v>275770813.78000003</v>
      </c>
      <c r="E21" s="813">
        <f>E22+E31+E40+E44+E45</f>
        <v>0</v>
      </c>
      <c r="F21" s="238"/>
    </row>
    <row r="22" spans="1:6" ht="12.75" x14ac:dyDescent="0.2">
      <c r="A22" s="31" t="s">
        <v>93</v>
      </c>
      <c r="B22" s="812">
        <f>B23+B27</f>
        <v>30998300</v>
      </c>
      <c r="C22" s="812">
        <f>C23+C27</f>
        <v>30998300</v>
      </c>
      <c r="D22" s="812">
        <f>D23+D27</f>
        <v>34923240.530000001</v>
      </c>
      <c r="E22" s="814">
        <f>E23+E27</f>
        <v>0</v>
      </c>
    </row>
    <row r="23" spans="1:6" ht="12.75" x14ac:dyDescent="0.2">
      <c r="A23" s="31" t="s">
        <v>304</v>
      </c>
      <c r="B23" s="812">
        <f>SUM(B24:B26)</f>
        <v>30998300</v>
      </c>
      <c r="C23" s="812">
        <f>SUM(C24:C26)</f>
        <v>30998300</v>
      </c>
      <c r="D23" s="812">
        <f>SUM(D24:D26)</f>
        <v>34923240.530000001</v>
      </c>
      <c r="E23" s="814">
        <f>SUM(E24:E26)</f>
        <v>0</v>
      </c>
    </row>
    <row r="24" spans="1:6" ht="12.75" x14ac:dyDescent="0.2">
      <c r="A24" s="31" t="s">
        <v>94</v>
      </c>
      <c r="B24" s="812">
        <v>30387300</v>
      </c>
      <c r="C24" s="812">
        <v>30387300</v>
      </c>
      <c r="D24" s="812">
        <v>33745864.979999997</v>
      </c>
      <c r="E24" s="814">
        <v>0</v>
      </c>
    </row>
    <row r="25" spans="1:6" ht="12.75" x14ac:dyDescent="0.2">
      <c r="A25" s="31" t="s">
        <v>95</v>
      </c>
      <c r="B25" s="812">
        <v>568000</v>
      </c>
      <c r="C25" s="812">
        <v>568000</v>
      </c>
      <c r="D25" s="812">
        <v>1097755.06</v>
      </c>
      <c r="E25" s="814">
        <v>0</v>
      </c>
    </row>
    <row r="26" spans="1:6" ht="12.75" x14ac:dyDescent="0.2">
      <c r="A26" s="31" t="s">
        <v>96</v>
      </c>
      <c r="B26" s="812">
        <v>43000</v>
      </c>
      <c r="C26" s="812">
        <v>43000</v>
      </c>
      <c r="D26" s="812">
        <v>79620.490000000005</v>
      </c>
      <c r="E26" s="814">
        <v>0</v>
      </c>
    </row>
    <row r="27" spans="1:6" ht="12.75" x14ac:dyDescent="0.2">
      <c r="A27" s="31" t="s">
        <v>305</v>
      </c>
      <c r="B27" s="812">
        <f>SUM(B28:B30)</f>
        <v>0</v>
      </c>
      <c r="C27" s="812">
        <f>SUM(C28:C30)</f>
        <v>0</v>
      </c>
      <c r="D27" s="812">
        <f>SUM(D28:D30)</f>
        <v>0</v>
      </c>
      <c r="E27" s="814">
        <f>SUM(E28:E30)</f>
        <v>0</v>
      </c>
    </row>
    <row r="28" spans="1:6" ht="12.75" x14ac:dyDescent="0.2">
      <c r="A28" s="31" t="s">
        <v>97</v>
      </c>
      <c r="B28" s="812"/>
      <c r="C28" s="812"/>
      <c r="D28" s="812"/>
      <c r="E28" s="814"/>
    </row>
    <row r="29" spans="1:6" ht="12.75" x14ac:dyDescent="0.2">
      <c r="A29" s="31" t="s">
        <v>98</v>
      </c>
      <c r="B29" s="812"/>
      <c r="C29" s="812"/>
      <c r="D29" s="812"/>
      <c r="E29" s="814"/>
    </row>
    <row r="30" spans="1:6" ht="12.75" x14ac:dyDescent="0.2">
      <c r="A30" s="31" t="s">
        <v>96</v>
      </c>
      <c r="B30" s="812"/>
      <c r="C30" s="812"/>
      <c r="D30" s="812"/>
      <c r="E30" s="814"/>
    </row>
    <row r="31" spans="1:6" ht="12.75" x14ac:dyDescent="0.2">
      <c r="A31" s="31" t="s">
        <v>748</v>
      </c>
      <c r="B31" s="812">
        <f>B32+B36</f>
        <v>47207600</v>
      </c>
      <c r="C31" s="812">
        <f>C32+C36</f>
        <v>47207600</v>
      </c>
      <c r="D31" s="812">
        <f>D32+D36</f>
        <v>57021070.740000002</v>
      </c>
      <c r="E31" s="814">
        <f>E32+E36</f>
        <v>0</v>
      </c>
    </row>
    <row r="32" spans="1:6" ht="12.75" x14ac:dyDescent="0.2">
      <c r="A32" s="31" t="s">
        <v>304</v>
      </c>
      <c r="B32" s="812">
        <f>SUM(B33:B35)</f>
        <v>47207600</v>
      </c>
      <c r="C32" s="812">
        <f>SUM(C33:C35)</f>
        <v>47207600</v>
      </c>
      <c r="D32" s="812">
        <f>SUM(D33:D35)</f>
        <v>57021070.740000002</v>
      </c>
      <c r="E32" s="814">
        <f>SUM(E33:E35)</f>
        <v>0</v>
      </c>
    </row>
    <row r="33" spans="1:5" ht="12.75" x14ac:dyDescent="0.2">
      <c r="A33" s="31" t="s">
        <v>94</v>
      </c>
      <c r="B33" s="812">
        <v>47207600</v>
      </c>
      <c r="C33" s="812">
        <v>47207600</v>
      </c>
      <c r="D33" s="812">
        <v>57021070.740000002</v>
      </c>
      <c r="E33" s="814">
        <v>0</v>
      </c>
    </row>
    <row r="34" spans="1:5" ht="12.75" x14ac:dyDescent="0.2">
      <c r="A34" s="31" t="s">
        <v>95</v>
      </c>
      <c r="B34" s="812"/>
      <c r="C34" s="812"/>
      <c r="D34" s="812"/>
      <c r="E34" s="814">
        <v>0</v>
      </c>
    </row>
    <row r="35" spans="1:5" ht="12.75" x14ac:dyDescent="0.2">
      <c r="A35" s="31" t="s">
        <v>96</v>
      </c>
      <c r="B35" s="812"/>
      <c r="C35" s="812"/>
      <c r="D35" s="812"/>
      <c r="E35" s="814">
        <v>0</v>
      </c>
    </row>
    <row r="36" spans="1:5" ht="12.75" x14ac:dyDescent="0.2">
      <c r="A36" s="31" t="s">
        <v>305</v>
      </c>
      <c r="B36" s="812">
        <f>SUM(B37:B39)</f>
        <v>0</v>
      </c>
      <c r="C36" s="812">
        <f>SUM(C37:C39)</f>
        <v>0</v>
      </c>
      <c r="D36" s="812">
        <f>SUM(D37:D39)</f>
        <v>0</v>
      </c>
      <c r="E36" s="814">
        <f>SUM(E37:E39)</f>
        <v>0</v>
      </c>
    </row>
    <row r="37" spans="1:5" ht="12.75" x14ac:dyDescent="0.2">
      <c r="A37" s="31" t="s">
        <v>97</v>
      </c>
      <c r="B37" s="812"/>
      <c r="C37" s="812"/>
      <c r="D37" s="812"/>
      <c r="E37" s="814"/>
    </row>
    <row r="38" spans="1:5" ht="12.75" x14ac:dyDescent="0.2">
      <c r="A38" s="31" t="s">
        <v>98</v>
      </c>
      <c r="B38" s="812"/>
      <c r="C38" s="812"/>
      <c r="D38" s="812"/>
      <c r="E38" s="814"/>
    </row>
    <row r="39" spans="1:5" ht="12.75" x14ac:dyDescent="0.2">
      <c r="A39" s="31" t="s">
        <v>96</v>
      </c>
      <c r="B39" s="812"/>
      <c r="C39" s="812"/>
      <c r="D39" s="812"/>
      <c r="E39" s="814"/>
    </row>
    <row r="40" spans="1:5" ht="12.75" x14ac:dyDescent="0.2">
      <c r="A40" s="31" t="s">
        <v>333</v>
      </c>
      <c r="B40" s="812">
        <f>SUM(B41:B43)</f>
        <v>6400000</v>
      </c>
      <c r="C40" s="812">
        <f>SUM(C41:C43)</f>
        <v>6400000</v>
      </c>
      <c r="D40" s="812">
        <f>SUM(D41:D43)</f>
        <v>180378610.30000001</v>
      </c>
      <c r="E40" s="814">
        <f>SUM(E41:E43)</f>
        <v>0</v>
      </c>
    </row>
    <row r="41" spans="1:5" ht="12.75" x14ac:dyDescent="0.2">
      <c r="A41" s="31" t="s">
        <v>16</v>
      </c>
      <c r="B41" s="812"/>
      <c r="C41" s="812"/>
      <c r="D41" s="812"/>
      <c r="E41" s="814"/>
    </row>
    <row r="42" spans="1:5" ht="12.75" x14ac:dyDescent="0.2">
      <c r="A42" s="31" t="s">
        <v>17</v>
      </c>
      <c r="B42" s="812">
        <v>6400000</v>
      </c>
      <c r="C42" s="812">
        <v>6400000</v>
      </c>
      <c r="D42" s="812">
        <v>180378610.30000001</v>
      </c>
      <c r="E42" s="814">
        <v>0</v>
      </c>
    </row>
    <row r="43" spans="1:5" ht="12.75" x14ac:dyDescent="0.2">
      <c r="A43" s="31" t="s">
        <v>18</v>
      </c>
      <c r="B43" s="812"/>
      <c r="C43" s="812"/>
      <c r="D43" s="812"/>
      <c r="E43" s="814"/>
    </row>
    <row r="44" spans="1:5" ht="12.75" x14ac:dyDescent="0.2">
      <c r="A44" s="31" t="s">
        <v>194</v>
      </c>
      <c r="B44" s="812"/>
      <c r="C44" s="812"/>
      <c r="D44" s="812"/>
      <c r="E44" s="814"/>
    </row>
    <row r="45" spans="1:5" ht="12.75" x14ac:dyDescent="0.2">
      <c r="A45" s="31" t="s">
        <v>306</v>
      </c>
      <c r="B45" s="812">
        <f>SUM(B46:B48)</f>
        <v>3019300</v>
      </c>
      <c r="C45" s="812">
        <f>SUM(C46:C48)</f>
        <v>3019300</v>
      </c>
      <c r="D45" s="812">
        <f>SUM(D46:D48)</f>
        <v>3447892.21</v>
      </c>
      <c r="E45" s="814">
        <f>SUM(E46:E48)</f>
        <v>0</v>
      </c>
    </row>
    <row r="46" spans="1:5" ht="12.75" x14ac:dyDescent="0.2">
      <c r="A46" s="31" t="s">
        <v>195</v>
      </c>
      <c r="B46" s="812">
        <v>3000000</v>
      </c>
      <c r="C46" s="812">
        <v>3000000</v>
      </c>
      <c r="D46" s="812">
        <v>3437075.03</v>
      </c>
      <c r="E46" s="814">
        <v>0</v>
      </c>
    </row>
    <row r="47" spans="1:5" ht="12.75" x14ac:dyDescent="0.2">
      <c r="A47" s="31" t="s">
        <v>99</v>
      </c>
      <c r="B47" s="812">
        <v>19300</v>
      </c>
      <c r="C47" s="812">
        <v>19300</v>
      </c>
      <c r="D47" s="812">
        <v>10817.18</v>
      </c>
      <c r="E47" s="814">
        <v>0</v>
      </c>
    </row>
    <row r="48" spans="1:5" ht="12.75" x14ac:dyDescent="0.2">
      <c r="A48" s="31" t="s">
        <v>965</v>
      </c>
      <c r="B48" s="812"/>
      <c r="C48" s="812"/>
      <c r="D48" s="812"/>
      <c r="E48" s="814">
        <v>0</v>
      </c>
    </row>
    <row r="49" spans="1:9" ht="12.75" x14ac:dyDescent="0.2">
      <c r="A49" s="31" t="s">
        <v>966</v>
      </c>
      <c r="B49" s="812">
        <f>SUM(B50:B52)</f>
        <v>0</v>
      </c>
      <c r="C49" s="812">
        <f>SUM(C50:C52)</f>
        <v>0</v>
      </c>
      <c r="D49" s="812">
        <f>SUM(D50:D52)</f>
        <v>0</v>
      </c>
      <c r="E49" s="814">
        <f>SUM(E50:E52)</f>
        <v>0</v>
      </c>
    </row>
    <row r="50" spans="1:9" ht="12.75" x14ac:dyDescent="0.2">
      <c r="A50" s="31" t="s">
        <v>91</v>
      </c>
      <c r="B50" s="812"/>
      <c r="C50" s="812"/>
      <c r="D50" s="812"/>
      <c r="E50" s="814"/>
    </row>
    <row r="51" spans="1:9" ht="12.75" x14ac:dyDescent="0.2">
      <c r="A51" s="31" t="s">
        <v>196</v>
      </c>
      <c r="B51" s="812"/>
      <c r="C51" s="812"/>
      <c r="D51" s="812"/>
      <c r="E51" s="814"/>
    </row>
    <row r="52" spans="1:9" ht="12.75" x14ac:dyDescent="0.2">
      <c r="A52" s="31" t="s">
        <v>307</v>
      </c>
      <c r="B52" s="812"/>
      <c r="C52" s="812"/>
      <c r="D52" s="812"/>
      <c r="E52" s="814"/>
    </row>
    <row r="53" spans="1:9" ht="12.75" x14ac:dyDescent="0.2">
      <c r="A53" s="182" t="s">
        <v>967</v>
      </c>
      <c r="B53" s="815">
        <f>B21+B49</f>
        <v>87625200</v>
      </c>
      <c r="C53" s="815">
        <f>C21+C49</f>
        <v>87625200</v>
      </c>
      <c r="D53" s="815">
        <f>D21+D49</f>
        <v>275770813.78000003</v>
      </c>
      <c r="E53" s="816">
        <f>E21+E49</f>
        <v>0</v>
      </c>
    </row>
    <row r="54" spans="1:9" ht="15" hidden="1" customHeight="1" x14ac:dyDescent="0.2">
      <c r="A54" s="239"/>
      <c r="B54" s="239"/>
      <c r="C54" s="240"/>
      <c r="D54" s="240"/>
      <c r="E54" s="240"/>
    </row>
    <row r="55" spans="1:9" ht="12.75" hidden="1" x14ac:dyDescent="0.2">
      <c r="A55" s="239"/>
      <c r="B55" s="239"/>
      <c r="C55" s="240"/>
      <c r="D55" s="240"/>
      <c r="E55" s="240"/>
    </row>
    <row r="56" spans="1:9" ht="12.75" hidden="1" x14ac:dyDescent="0.2">
      <c r="A56" s="239"/>
      <c r="B56" s="239"/>
      <c r="C56" s="240"/>
      <c r="D56" s="240"/>
      <c r="E56" s="240"/>
    </row>
    <row r="57" spans="1:9" ht="12.75" hidden="1" x14ac:dyDescent="0.2">
      <c r="A57" s="239"/>
      <c r="B57" s="239"/>
      <c r="C57" s="240"/>
      <c r="D57" s="240"/>
      <c r="E57" s="240"/>
    </row>
    <row r="58" spans="1:9" ht="12.75" hidden="1" x14ac:dyDescent="0.2">
      <c r="A58" s="239"/>
      <c r="B58" s="239"/>
      <c r="C58" s="240"/>
      <c r="D58" s="240"/>
      <c r="E58" s="240"/>
    </row>
    <row r="59" spans="1:9" ht="12.75" x14ac:dyDescent="0.2">
      <c r="B59" s="874"/>
      <c r="C59" s="874"/>
      <c r="D59" s="874"/>
      <c r="E59" s="874"/>
      <c r="F59" s="41"/>
    </row>
    <row r="60" spans="1:9" ht="27.75" customHeight="1" x14ac:dyDescent="0.2">
      <c r="A60" s="952" t="s">
        <v>757</v>
      </c>
      <c r="B60" s="947" t="s">
        <v>633</v>
      </c>
      <c r="C60" s="955" t="s">
        <v>208</v>
      </c>
      <c r="D60" s="950" t="s">
        <v>110</v>
      </c>
      <c r="E60" s="951"/>
      <c r="F60" s="950" t="s">
        <v>111</v>
      </c>
      <c r="G60" s="951"/>
      <c r="H60" s="950" t="s">
        <v>344</v>
      </c>
      <c r="I60" s="951"/>
    </row>
    <row r="61" spans="1:9" ht="17.25" customHeight="1" x14ac:dyDescent="0.2">
      <c r="A61" s="953"/>
      <c r="B61" s="948"/>
      <c r="C61" s="948"/>
      <c r="D61" s="878" t="str">
        <f>E19</f>
        <v>Até o  Bimestre</v>
      </c>
      <c r="E61" s="878" t="str">
        <f>E19</f>
        <v>Até o  Bimestre</v>
      </c>
      <c r="F61" s="878" t="str">
        <f>E19</f>
        <v>Até o  Bimestre</v>
      </c>
      <c r="G61" s="878" t="str">
        <f>E19</f>
        <v>Até o  Bimestre</v>
      </c>
      <c r="H61" s="877" t="s">
        <v>712</v>
      </c>
      <c r="I61" s="877" t="s">
        <v>711</v>
      </c>
    </row>
    <row r="62" spans="1:9" ht="12.75" x14ac:dyDescent="0.2">
      <c r="A62" s="954"/>
      <c r="B62" s="949"/>
      <c r="C62" s="949"/>
      <c r="D62" s="221" t="s">
        <v>159</v>
      </c>
      <c r="E62" s="221" t="s">
        <v>160</v>
      </c>
      <c r="F62" s="221" t="s">
        <v>159</v>
      </c>
      <c r="G62" s="221" t="s">
        <v>160</v>
      </c>
      <c r="H62" s="880" t="s">
        <v>713</v>
      </c>
      <c r="I62" s="880" t="s">
        <v>160</v>
      </c>
    </row>
    <row r="63" spans="1:9" ht="12.75" x14ac:dyDescent="0.2">
      <c r="A63" s="74" t="s">
        <v>968</v>
      </c>
      <c r="B63" s="812">
        <f t="shared" ref="B63:I63" si="0">SUM(B64:B65)</f>
        <v>230000</v>
      </c>
      <c r="C63" s="812">
        <f t="shared" si="0"/>
        <v>310000</v>
      </c>
      <c r="D63" s="812">
        <f t="shared" si="0"/>
        <v>302360</v>
      </c>
      <c r="E63" s="812">
        <f t="shared" si="0"/>
        <v>0</v>
      </c>
      <c r="F63" s="812">
        <f t="shared" si="0"/>
        <v>302360</v>
      </c>
      <c r="G63" s="812">
        <f t="shared" si="0"/>
        <v>0</v>
      </c>
      <c r="H63" s="812">
        <f t="shared" si="0"/>
        <v>0</v>
      </c>
      <c r="I63" s="813">
        <f t="shared" si="0"/>
        <v>0</v>
      </c>
    </row>
    <row r="64" spans="1:9" ht="12.75" x14ac:dyDescent="0.2">
      <c r="A64" s="75" t="s">
        <v>308</v>
      </c>
      <c r="B64" s="812">
        <v>230000</v>
      </c>
      <c r="C64" s="812">
        <v>310000</v>
      </c>
      <c r="D64" s="812">
        <v>302360</v>
      </c>
      <c r="E64" s="812">
        <v>0</v>
      </c>
      <c r="F64" s="812">
        <v>302360</v>
      </c>
      <c r="G64" s="812">
        <v>0</v>
      </c>
      <c r="H64" s="812">
        <v>0</v>
      </c>
      <c r="I64" s="814">
        <v>0</v>
      </c>
    </row>
    <row r="65" spans="1:9" ht="12.75" x14ac:dyDescent="0.2">
      <c r="A65" s="75" t="s">
        <v>309</v>
      </c>
      <c r="B65" s="812"/>
      <c r="C65" s="812"/>
      <c r="D65" s="812"/>
      <c r="E65" s="812"/>
      <c r="F65" s="812"/>
      <c r="G65" s="812"/>
      <c r="H65" s="812"/>
      <c r="I65" s="814"/>
    </row>
    <row r="66" spans="1:9" ht="12.75" x14ac:dyDescent="0.2">
      <c r="A66" s="75" t="s">
        <v>969</v>
      </c>
      <c r="B66" s="812">
        <f t="shared" ref="B66:I66" si="1">B67+B71+B75</f>
        <v>65964000</v>
      </c>
      <c r="C66" s="812">
        <f t="shared" si="1"/>
        <v>72334000</v>
      </c>
      <c r="D66" s="812">
        <f t="shared" si="1"/>
        <v>67759015.379999995</v>
      </c>
      <c r="E66" s="812">
        <f t="shared" si="1"/>
        <v>0</v>
      </c>
      <c r="F66" s="812">
        <f t="shared" si="1"/>
        <v>67316381.420000002</v>
      </c>
      <c r="G66" s="812">
        <f t="shared" si="1"/>
        <v>0</v>
      </c>
      <c r="H66" s="812">
        <f t="shared" si="1"/>
        <v>442633.95999999996</v>
      </c>
      <c r="I66" s="814">
        <f t="shared" si="1"/>
        <v>0</v>
      </c>
    </row>
    <row r="67" spans="1:9" ht="12.75" x14ac:dyDescent="0.2">
      <c r="A67" s="75" t="s">
        <v>752</v>
      </c>
      <c r="B67" s="812">
        <f t="shared" ref="B67:I67" si="2">SUM(B68:B70)</f>
        <v>61665000</v>
      </c>
      <c r="C67" s="812">
        <f t="shared" si="2"/>
        <v>67930000</v>
      </c>
      <c r="D67" s="812">
        <f t="shared" si="2"/>
        <v>64415686.390000001</v>
      </c>
      <c r="E67" s="812">
        <f t="shared" si="2"/>
        <v>0</v>
      </c>
      <c r="F67" s="812">
        <f t="shared" si="2"/>
        <v>63998630.409999996</v>
      </c>
      <c r="G67" s="812">
        <f t="shared" si="2"/>
        <v>0</v>
      </c>
      <c r="H67" s="812">
        <f t="shared" si="2"/>
        <v>417055.98</v>
      </c>
      <c r="I67" s="814">
        <f t="shared" si="2"/>
        <v>0</v>
      </c>
    </row>
    <row r="68" spans="1:9" ht="12.75" x14ac:dyDescent="0.2">
      <c r="A68" s="75" t="s">
        <v>310</v>
      </c>
      <c r="B68" s="812">
        <v>48210000</v>
      </c>
      <c r="C68" s="812">
        <v>53475000</v>
      </c>
      <c r="D68" s="812">
        <v>50351703.68</v>
      </c>
      <c r="E68" s="812">
        <v>0</v>
      </c>
      <c r="F68" s="812">
        <v>50351703.68</v>
      </c>
      <c r="G68" s="812">
        <v>0</v>
      </c>
      <c r="H68" s="812">
        <v>0</v>
      </c>
      <c r="I68" s="814">
        <v>0</v>
      </c>
    </row>
    <row r="69" spans="1:9" ht="12.75" x14ac:dyDescent="0.2">
      <c r="A69" s="75" t="s">
        <v>311</v>
      </c>
      <c r="B69" s="812">
        <v>7585000</v>
      </c>
      <c r="C69" s="812">
        <v>7585000</v>
      </c>
      <c r="D69" s="812">
        <v>7194712.5</v>
      </c>
      <c r="E69" s="812">
        <v>0</v>
      </c>
      <c r="F69" s="812">
        <v>7194712.5</v>
      </c>
      <c r="G69" s="812">
        <v>0</v>
      </c>
      <c r="H69" s="812">
        <v>0</v>
      </c>
      <c r="I69" s="814">
        <v>0</v>
      </c>
    </row>
    <row r="70" spans="1:9" ht="12.75" x14ac:dyDescent="0.2">
      <c r="A70" s="75" t="s">
        <v>312</v>
      </c>
      <c r="B70" s="812">
        <v>5870000</v>
      </c>
      <c r="C70" s="812">
        <v>6870000</v>
      </c>
      <c r="D70" s="812">
        <v>6869270.21</v>
      </c>
      <c r="E70" s="812">
        <v>0</v>
      </c>
      <c r="F70" s="812">
        <v>6452214.2300000004</v>
      </c>
      <c r="G70" s="812">
        <v>0</v>
      </c>
      <c r="H70" s="812">
        <v>417055.98</v>
      </c>
      <c r="I70" s="814">
        <v>0</v>
      </c>
    </row>
    <row r="71" spans="1:9" ht="12.75" x14ac:dyDescent="0.2">
      <c r="A71" s="75" t="s">
        <v>753</v>
      </c>
      <c r="B71" s="812">
        <f t="shared" ref="B71:I71" si="3">SUM(B72:B74)</f>
        <v>0</v>
      </c>
      <c r="C71" s="812">
        <f t="shared" si="3"/>
        <v>0</v>
      </c>
      <c r="D71" s="812">
        <f t="shared" si="3"/>
        <v>0</v>
      </c>
      <c r="E71" s="812">
        <f t="shared" si="3"/>
        <v>0</v>
      </c>
      <c r="F71" s="812">
        <f t="shared" si="3"/>
        <v>0</v>
      </c>
      <c r="G71" s="812">
        <f t="shared" si="3"/>
        <v>0</v>
      </c>
      <c r="H71" s="812">
        <f t="shared" si="3"/>
        <v>0</v>
      </c>
      <c r="I71" s="814">
        <f t="shared" si="3"/>
        <v>0</v>
      </c>
    </row>
    <row r="72" spans="1:9" ht="12.75" x14ac:dyDescent="0.2">
      <c r="A72" s="75" t="s">
        <v>313</v>
      </c>
      <c r="B72" s="812"/>
      <c r="C72" s="812"/>
      <c r="D72" s="812"/>
      <c r="E72" s="812"/>
      <c r="F72" s="812"/>
      <c r="G72" s="812"/>
      <c r="H72" s="812"/>
      <c r="I72" s="814"/>
    </row>
    <row r="73" spans="1:9" ht="12.75" x14ac:dyDescent="0.2">
      <c r="A73" s="75" t="s">
        <v>311</v>
      </c>
      <c r="B73" s="812"/>
      <c r="C73" s="812"/>
      <c r="D73" s="812"/>
      <c r="E73" s="812"/>
      <c r="F73" s="812"/>
      <c r="G73" s="812"/>
      <c r="H73" s="812"/>
      <c r="I73" s="814"/>
    </row>
    <row r="74" spans="1:9" ht="12.75" x14ac:dyDescent="0.2">
      <c r="A74" s="75" t="s">
        <v>312</v>
      </c>
      <c r="B74" s="812"/>
      <c r="C74" s="812"/>
      <c r="D74" s="812"/>
      <c r="E74" s="812"/>
      <c r="F74" s="812"/>
      <c r="G74" s="812"/>
      <c r="H74" s="812"/>
      <c r="I74" s="814"/>
    </row>
    <row r="75" spans="1:9" ht="12.75" x14ac:dyDescent="0.2">
      <c r="A75" s="75" t="s">
        <v>314</v>
      </c>
      <c r="B75" s="812">
        <f t="shared" ref="B75:I75" si="4">SUM(B76:B77)</f>
        <v>4299000</v>
      </c>
      <c r="C75" s="812">
        <f t="shared" si="4"/>
        <v>4404000</v>
      </c>
      <c r="D75" s="812">
        <f t="shared" si="4"/>
        <v>3343328.99</v>
      </c>
      <c r="E75" s="812">
        <f t="shared" si="4"/>
        <v>0</v>
      </c>
      <c r="F75" s="812">
        <f t="shared" si="4"/>
        <v>3317751.01</v>
      </c>
      <c r="G75" s="812">
        <f t="shared" si="4"/>
        <v>0</v>
      </c>
      <c r="H75" s="812">
        <f t="shared" si="4"/>
        <v>25577.98</v>
      </c>
      <c r="I75" s="814">
        <f t="shared" si="4"/>
        <v>0</v>
      </c>
    </row>
    <row r="76" spans="1:9" ht="12.75" x14ac:dyDescent="0.2">
      <c r="A76" s="75" t="s">
        <v>197</v>
      </c>
      <c r="B76" s="812"/>
      <c r="C76" s="812"/>
      <c r="D76" s="812"/>
      <c r="E76" s="812"/>
      <c r="F76" s="812"/>
      <c r="G76" s="812"/>
      <c r="H76" s="812"/>
      <c r="I76" s="814"/>
    </row>
    <row r="77" spans="1:9" ht="12.75" x14ac:dyDescent="0.2">
      <c r="A77" s="75" t="s">
        <v>40</v>
      </c>
      <c r="B77" s="812">
        <v>4299000</v>
      </c>
      <c r="C77" s="812">
        <v>4404000</v>
      </c>
      <c r="D77" s="812">
        <v>3343328.99</v>
      </c>
      <c r="E77" s="812">
        <v>0</v>
      </c>
      <c r="F77" s="812">
        <v>3317751.01</v>
      </c>
      <c r="G77" s="812">
        <v>0</v>
      </c>
      <c r="H77" s="812">
        <v>25577.98</v>
      </c>
      <c r="I77" s="817">
        <v>0</v>
      </c>
    </row>
    <row r="78" spans="1:9" ht="12.75" x14ac:dyDescent="0.2">
      <c r="A78" s="183" t="s">
        <v>970</v>
      </c>
      <c r="B78" s="815">
        <f>B63+B66</f>
        <v>66194000</v>
      </c>
      <c r="C78" s="815">
        <f t="shared" ref="C78:I78" si="5">C63+C66</f>
        <v>72644000</v>
      </c>
      <c r="D78" s="815">
        <f t="shared" si="5"/>
        <v>68061375.379999995</v>
      </c>
      <c r="E78" s="815">
        <f t="shared" si="5"/>
        <v>0</v>
      </c>
      <c r="F78" s="815">
        <f t="shared" si="5"/>
        <v>67618741.420000002</v>
      </c>
      <c r="G78" s="815">
        <f t="shared" si="5"/>
        <v>0</v>
      </c>
      <c r="H78" s="815">
        <f t="shared" si="5"/>
        <v>442633.95999999996</v>
      </c>
      <c r="I78" s="816">
        <f t="shared" si="5"/>
        <v>0</v>
      </c>
    </row>
    <row r="79" spans="1:9" ht="12.75" x14ac:dyDescent="0.2">
      <c r="A79" s="184" t="s">
        <v>971</v>
      </c>
      <c r="B79" s="815">
        <f>B53-B78</f>
        <v>21431200</v>
      </c>
      <c r="C79" s="815">
        <f>C53-C78</f>
        <v>14981200</v>
      </c>
      <c r="D79" s="815">
        <f>D53-D78</f>
        <v>207709438.40000004</v>
      </c>
      <c r="E79" s="815">
        <f>E53-E78</f>
        <v>0</v>
      </c>
      <c r="F79" s="815">
        <f>D53-F78</f>
        <v>208152072.36000001</v>
      </c>
      <c r="G79" s="815">
        <f>E53-G78</f>
        <v>0</v>
      </c>
      <c r="H79" s="818"/>
      <c r="I79" s="818"/>
    </row>
    <row r="80" spans="1:9" ht="12.75" hidden="1" x14ac:dyDescent="0.2">
      <c r="C80" s="224"/>
      <c r="D80" s="224"/>
      <c r="E80" s="224"/>
      <c r="F80" s="224"/>
      <c r="G80" s="224"/>
      <c r="H80" s="224"/>
      <c r="I80" s="224"/>
    </row>
    <row r="81" spans="1:9" ht="12.75" hidden="1" x14ac:dyDescent="0.2">
      <c r="C81" s="224"/>
      <c r="D81" s="224"/>
      <c r="E81" s="224"/>
      <c r="F81" s="224"/>
      <c r="G81" s="224"/>
      <c r="H81" s="224"/>
      <c r="I81" s="224"/>
    </row>
    <row r="82" spans="1:9" ht="12.75" hidden="1" x14ac:dyDescent="0.2">
      <c r="C82" s="224"/>
      <c r="D82" s="224"/>
      <c r="E82" s="224"/>
      <c r="F82" s="224"/>
      <c r="G82" s="224"/>
      <c r="H82" s="224"/>
      <c r="I82" s="224"/>
    </row>
    <row r="83" spans="1:9" ht="12.75" hidden="1" x14ac:dyDescent="0.2">
      <c r="C83" s="224"/>
      <c r="D83" s="224"/>
      <c r="E83" s="224"/>
      <c r="F83" s="224"/>
      <c r="G83" s="224"/>
      <c r="H83" s="224"/>
      <c r="I83" s="224"/>
    </row>
    <row r="84" spans="1:9" ht="12.75" hidden="1" x14ac:dyDescent="0.2">
      <c r="C84" s="224"/>
      <c r="D84" s="224"/>
      <c r="E84" s="224"/>
      <c r="F84" s="224"/>
      <c r="G84" s="224"/>
      <c r="H84" s="224"/>
      <c r="I84" s="224"/>
    </row>
    <row r="85" spans="1:9" ht="12.75" hidden="1" x14ac:dyDescent="0.2">
      <c r="C85" s="224"/>
      <c r="D85" s="224"/>
      <c r="E85" s="224"/>
      <c r="F85" s="224"/>
      <c r="G85" s="224"/>
      <c r="H85" s="224"/>
      <c r="I85" s="224"/>
    </row>
    <row r="86" spans="1:9" ht="12.75" x14ac:dyDescent="0.2">
      <c r="C86" s="224"/>
      <c r="D86" s="224"/>
      <c r="E86" s="224"/>
      <c r="F86" s="224"/>
      <c r="G86" s="224"/>
      <c r="H86" s="224"/>
      <c r="I86" s="224"/>
    </row>
    <row r="87" spans="1:9" ht="25.5" x14ac:dyDescent="0.2">
      <c r="A87" s="574" t="s">
        <v>758</v>
      </c>
      <c r="B87" s="575" t="s">
        <v>92</v>
      </c>
      <c r="C87" s="224"/>
      <c r="D87" s="224"/>
      <c r="E87" s="224"/>
      <c r="F87" s="224"/>
      <c r="G87" s="224"/>
      <c r="H87" s="224"/>
      <c r="I87" s="224"/>
    </row>
    <row r="88" spans="1:9" ht="12.75" x14ac:dyDescent="0.2">
      <c r="A88" s="78" t="s">
        <v>755</v>
      </c>
      <c r="B88" s="819"/>
      <c r="C88" s="224"/>
      <c r="D88" s="224"/>
      <c r="E88" s="224"/>
      <c r="F88" s="224"/>
      <c r="G88" s="224"/>
      <c r="H88" s="224"/>
      <c r="I88" s="224"/>
    </row>
    <row r="89" spans="1:9" ht="12.75" x14ac:dyDescent="0.2">
      <c r="C89" s="224"/>
      <c r="D89" s="224"/>
      <c r="E89" s="224"/>
      <c r="F89" s="224"/>
      <c r="G89" s="224"/>
      <c r="H89" s="224"/>
      <c r="I89" s="224"/>
    </row>
    <row r="90" spans="1:9" ht="12.75" hidden="1" x14ac:dyDescent="0.2">
      <c r="C90" s="224"/>
      <c r="D90" s="224"/>
      <c r="E90" s="224"/>
      <c r="F90" s="224"/>
      <c r="G90" s="224"/>
      <c r="H90" s="224"/>
      <c r="I90" s="224"/>
    </row>
    <row r="91" spans="1:9" ht="12.75" hidden="1" x14ac:dyDescent="0.2">
      <c r="C91" s="224"/>
      <c r="D91" s="224"/>
      <c r="E91" s="224"/>
      <c r="F91" s="224"/>
      <c r="G91" s="224"/>
      <c r="H91" s="224"/>
      <c r="I91" s="224"/>
    </row>
    <row r="92" spans="1:9" ht="12.75" hidden="1" x14ac:dyDescent="0.2">
      <c r="C92" s="224"/>
      <c r="D92" s="224"/>
      <c r="E92" s="224"/>
      <c r="F92" s="224"/>
      <c r="G92" s="224"/>
      <c r="H92" s="224"/>
      <c r="I92" s="224"/>
    </row>
    <row r="93" spans="1:9" ht="12.75" hidden="1" x14ac:dyDescent="0.2">
      <c r="C93" s="224"/>
      <c r="D93" s="224"/>
      <c r="E93" s="224"/>
      <c r="F93" s="224"/>
      <c r="G93" s="224"/>
      <c r="H93" s="224"/>
      <c r="I93" s="224"/>
    </row>
    <row r="94" spans="1:9" ht="12.75" hidden="1" x14ac:dyDescent="0.2">
      <c r="C94" s="224"/>
      <c r="D94" s="224"/>
      <c r="E94" s="224"/>
      <c r="F94" s="224"/>
      <c r="G94" s="224"/>
      <c r="H94" s="224"/>
      <c r="I94" s="224"/>
    </row>
    <row r="95" spans="1:9" ht="12.75" hidden="1" x14ac:dyDescent="0.2">
      <c r="C95" s="224"/>
      <c r="D95" s="224"/>
      <c r="E95" s="224"/>
      <c r="F95" s="224"/>
      <c r="G95" s="224"/>
      <c r="H95" s="224"/>
      <c r="I95" s="224"/>
    </row>
    <row r="96" spans="1:9" ht="25.5" x14ac:dyDescent="0.2">
      <c r="A96" s="577" t="s">
        <v>759</v>
      </c>
      <c r="B96" s="575" t="s">
        <v>92</v>
      </c>
      <c r="C96" s="224"/>
      <c r="D96" s="224"/>
      <c r="E96" s="224"/>
      <c r="F96" s="224"/>
      <c r="G96" s="224"/>
      <c r="H96" s="224"/>
      <c r="I96" s="224"/>
    </row>
    <row r="97" spans="1:9" ht="12.75" x14ac:dyDescent="0.2">
      <c r="A97" s="78" t="s">
        <v>755</v>
      </c>
      <c r="B97" s="820">
        <v>19456200</v>
      </c>
      <c r="C97" s="224"/>
      <c r="D97" s="224"/>
      <c r="E97" s="224"/>
      <c r="F97" s="224"/>
      <c r="G97" s="224"/>
      <c r="H97" s="224"/>
      <c r="I97" s="224"/>
    </row>
    <row r="98" spans="1:9" ht="12.75" hidden="1" x14ac:dyDescent="0.2">
      <c r="C98" s="224"/>
      <c r="D98" s="224"/>
      <c r="E98" s="224"/>
      <c r="F98" s="224"/>
      <c r="G98" s="224"/>
      <c r="H98" s="224"/>
      <c r="I98" s="224"/>
    </row>
    <row r="99" spans="1:9" ht="12.75" hidden="1" x14ac:dyDescent="0.2">
      <c r="C99" s="224"/>
      <c r="D99" s="224"/>
      <c r="E99" s="224"/>
      <c r="F99" s="224"/>
      <c r="G99" s="224"/>
      <c r="H99" s="224"/>
      <c r="I99" s="224"/>
    </row>
    <row r="100" spans="1:9" ht="12.75" hidden="1" x14ac:dyDescent="0.2">
      <c r="C100" s="224"/>
      <c r="D100" s="224"/>
      <c r="E100" s="224"/>
      <c r="F100" s="224"/>
      <c r="G100" s="224"/>
      <c r="H100" s="224"/>
      <c r="I100" s="224"/>
    </row>
    <row r="101" spans="1:9" ht="12.75" hidden="1" x14ac:dyDescent="0.2">
      <c r="C101" s="224"/>
      <c r="D101" s="224"/>
      <c r="E101" s="224"/>
      <c r="F101" s="224"/>
      <c r="G101" s="224"/>
      <c r="H101" s="224"/>
      <c r="I101" s="224"/>
    </row>
    <row r="102" spans="1:9" ht="12.75" x14ac:dyDescent="0.2">
      <c r="A102" s="51"/>
      <c r="B102" s="76"/>
      <c r="C102" s="77"/>
      <c r="D102" s="77"/>
      <c r="E102" s="77"/>
      <c r="F102" s="77"/>
    </row>
    <row r="103" spans="1:9" ht="12.75" customHeight="1" x14ac:dyDescent="0.2">
      <c r="A103" s="944" t="s">
        <v>764</v>
      </c>
      <c r="B103" s="947" t="s">
        <v>535</v>
      </c>
      <c r="C103" s="55"/>
      <c r="D103" s="51"/>
      <c r="E103" s="51"/>
      <c r="F103" s="51"/>
      <c r="G103" s="51"/>
      <c r="H103" s="51"/>
      <c r="I103" s="51"/>
    </row>
    <row r="104" spans="1:9" ht="12.75" x14ac:dyDescent="0.2">
      <c r="A104" s="945"/>
      <c r="B104" s="948"/>
      <c r="C104" s="55"/>
      <c r="D104" s="51"/>
      <c r="E104" s="51"/>
      <c r="F104" s="51"/>
      <c r="G104" s="51"/>
      <c r="H104" s="51"/>
      <c r="I104" s="51"/>
    </row>
    <row r="105" spans="1:9" ht="12.75" x14ac:dyDescent="0.2">
      <c r="A105" s="946"/>
      <c r="B105" s="949"/>
      <c r="C105" s="55"/>
      <c r="D105" s="51"/>
      <c r="E105" s="51"/>
      <c r="F105" s="51"/>
      <c r="G105" s="51"/>
      <c r="H105" s="51"/>
      <c r="I105" s="51"/>
    </row>
    <row r="106" spans="1:9" ht="12.75" x14ac:dyDescent="0.2">
      <c r="A106" s="129" t="s">
        <v>760</v>
      </c>
      <c r="B106" s="821"/>
      <c r="C106" s="55"/>
      <c r="D106" s="51"/>
      <c r="E106" s="51"/>
      <c r="F106" s="51"/>
      <c r="G106" s="51"/>
      <c r="H106" s="51"/>
      <c r="I106" s="51"/>
    </row>
    <row r="107" spans="1:9" ht="12.75" x14ac:dyDescent="0.2">
      <c r="A107" s="129" t="s">
        <v>761</v>
      </c>
      <c r="B107" s="821"/>
      <c r="C107" s="55"/>
      <c r="D107" s="51"/>
      <c r="E107" s="51"/>
      <c r="F107" s="51"/>
      <c r="G107" s="51"/>
      <c r="H107" s="51"/>
      <c r="I107" s="51"/>
    </row>
    <row r="108" spans="1:9" ht="12.75" x14ac:dyDescent="0.2">
      <c r="A108" s="129" t="s">
        <v>762</v>
      </c>
      <c r="B108" s="821"/>
      <c r="C108" s="55"/>
      <c r="D108" s="51"/>
      <c r="E108" s="51"/>
      <c r="F108" s="51"/>
      <c r="G108" s="51"/>
      <c r="H108" s="51"/>
      <c r="I108" s="51"/>
    </row>
    <row r="109" spans="1:9" ht="12.75" x14ac:dyDescent="0.2">
      <c r="A109" s="578" t="s">
        <v>763</v>
      </c>
      <c r="B109" s="822"/>
      <c r="C109" s="55"/>
      <c r="D109" s="51"/>
      <c r="E109" s="51"/>
      <c r="F109" s="51"/>
      <c r="G109" s="51"/>
      <c r="H109" s="51"/>
      <c r="I109" s="51"/>
    </row>
    <row r="110" spans="1:9" ht="12.75" x14ac:dyDescent="0.2">
      <c r="A110" s="241"/>
      <c r="B110" s="242"/>
      <c r="C110" s="51"/>
    </row>
    <row r="111" spans="1:9" ht="12.75" hidden="1" x14ac:dyDescent="0.2">
      <c r="A111" s="241"/>
      <c r="B111" s="242"/>
      <c r="C111" s="51"/>
    </row>
    <row r="112" spans="1:9" ht="12.75" hidden="1" x14ac:dyDescent="0.2">
      <c r="A112" s="241"/>
      <c r="B112" s="242"/>
      <c r="C112" s="51"/>
    </row>
    <row r="113" spans="1:7" ht="12.75" hidden="1" x14ac:dyDescent="0.2">
      <c r="A113" s="241"/>
      <c r="B113" s="242"/>
      <c r="C113" s="51"/>
    </row>
    <row r="114" spans="1:7" ht="12.75" hidden="1" x14ac:dyDescent="0.2">
      <c r="A114" s="241"/>
      <c r="B114" s="242"/>
      <c r="C114" s="51"/>
    </row>
    <row r="115" spans="1:7" ht="12.75" hidden="1" x14ac:dyDescent="0.2">
      <c r="A115" s="241"/>
      <c r="B115" s="242"/>
      <c r="C115" s="51"/>
    </row>
    <row r="116" spans="1:7" ht="12.75" hidden="1" x14ac:dyDescent="0.2">
      <c r="A116" s="72"/>
      <c r="B116" s="72"/>
      <c r="C116" s="72"/>
      <c r="D116" s="72"/>
      <c r="E116" s="72"/>
      <c r="F116" s="72"/>
      <c r="G116" s="51"/>
    </row>
    <row r="117" spans="1:7" ht="12.75" customHeight="1" x14ac:dyDescent="0.2">
      <c r="A117" s="960" t="s">
        <v>765</v>
      </c>
      <c r="B117" s="950" t="s">
        <v>164</v>
      </c>
      <c r="C117" s="951"/>
      <c r="D117" s="55"/>
    </row>
    <row r="118" spans="1:7" ht="12.75" customHeight="1" x14ac:dyDescent="0.2">
      <c r="A118" s="961"/>
      <c r="B118" s="876" t="s">
        <v>159</v>
      </c>
      <c r="C118" s="876" t="s">
        <v>160</v>
      </c>
      <c r="D118" s="55"/>
    </row>
    <row r="119" spans="1:7" ht="12.75" x14ac:dyDescent="0.2">
      <c r="A119" s="128" t="s">
        <v>768</v>
      </c>
      <c r="B119" s="823">
        <v>3939.26</v>
      </c>
      <c r="C119" s="823">
        <v>7189.19</v>
      </c>
      <c r="D119" s="55"/>
    </row>
    <row r="120" spans="1:7" ht="12.75" x14ac:dyDescent="0.2">
      <c r="A120" s="129" t="s">
        <v>769</v>
      </c>
      <c r="B120" s="821">
        <v>1325487768.27</v>
      </c>
      <c r="C120" s="821">
        <v>1111635542.72</v>
      </c>
      <c r="D120" s="55"/>
    </row>
    <row r="121" spans="1:7" ht="12.75" x14ac:dyDescent="0.2">
      <c r="A121" s="130" t="s">
        <v>770</v>
      </c>
      <c r="B121" s="822">
        <v>199894891.03</v>
      </c>
      <c r="C121" s="822">
        <v>140024721.5</v>
      </c>
      <c r="D121" s="55"/>
    </row>
    <row r="122" spans="1:7" ht="12.75" hidden="1" x14ac:dyDescent="0.2">
      <c r="A122" s="129"/>
      <c r="B122" s="824"/>
      <c r="C122" s="824"/>
      <c r="D122" s="51"/>
    </row>
    <row r="123" spans="1:7" ht="12.75" hidden="1" x14ac:dyDescent="0.2">
      <c r="A123" s="129"/>
      <c r="B123" s="824"/>
      <c r="C123" s="824"/>
      <c r="D123" s="51"/>
    </row>
    <row r="124" spans="1:7" ht="12.75" hidden="1" x14ac:dyDescent="0.2">
      <c r="A124" s="129"/>
      <c r="B124" s="824"/>
      <c r="C124" s="824"/>
      <c r="D124" s="51"/>
    </row>
    <row r="125" spans="1:7" ht="12.75" hidden="1" x14ac:dyDescent="0.2">
      <c r="A125" s="129"/>
      <c r="B125" s="824"/>
      <c r="C125" s="824"/>
      <c r="D125" s="51"/>
    </row>
    <row r="126" spans="1:7" ht="12.75" hidden="1" x14ac:dyDescent="0.2">
      <c r="A126" s="129"/>
      <c r="B126" s="824"/>
      <c r="C126" s="824"/>
      <c r="D126" s="51"/>
    </row>
    <row r="127" spans="1:7" ht="12.75" x14ac:dyDescent="0.2">
      <c r="A127" s="129"/>
      <c r="B127" s="824"/>
      <c r="C127" s="824"/>
      <c r="D127" s="51"/>
    </row>
    <row r="128" spans="1:7" ht="12.75" x14ac:dyDescent="0.2">
      <c r="A128" s="57"/>
      <c r="B128" s="956" t="s">
        <v>524</v>
      </c>
      <c r="C128" s="956" t="s">
        <v>207</v>
      </c>
      <c r="D128" s="950" t="s">
        <v>78</v>
      </c>
      <c r="E128" s="959"/>
    </row>
    <row r="129" spans="1:5" ht="12.75" x14ac:dyDescent="0.2">
      <c r="A129" s="81" t="s">
        <v>751</v>
      </c>
      <c r="B129" s="957"/>
      <c r="C129" s="957"/>
      <c r="D129" s="878" t="s">
        <v>158</v>
      </c>
      <c r="E129" s="877" t="s">
        <v>158</v>
      </c>
    </row>
    <row r="130" spans="1:5" ht="12.75" x14ac:dyDescent="0.2">
      <c r="A130" s="46"/>
      <c r="B130" s="958"/>
      <c r="C130" s="958"/>
      <c r="D130" s="221" t="s">
        <v>159</v>
      </c>
      <c r="E130" s="880" t="s">
        <v>160</v>
      </c>
    </row>
    <row r="131" spans="1:5" ht="12.75" x14ac:dyDescent="0.2">
      <c r="A131" s="30" t="s">
        <v>972</v>
      </c>
      <c r="B131" s="812">
        <f>B132+B141+B150+B154+B155</f>
        <v>0</v>
      </c>
      <c r="C131" s="812">
        <f>C132+C141+C150+C154+C155</f>
        <v>0</v>
      </c>
      <c r="D131" s="812">
        <f>D132+D141+D150+D154+D155</f>
        <v>0</v>
      </c>
      <c r="E131" s="813">
        <f>E132+E141+E150+E154+E155</f>
        <v>0</v>
      </c>
    </row>
    <row r="132" spans="1:5" ht="12.75" x14ac:dyDescent="0.2">
      <c r="A132" s="31" t="s">
        <v>93</v>
      </c>
      <c r="B132" s="812">
        <f>B133+B137</f>
        <v>0</v>
      </c>
      <c r="C132" s="812">
        <f>C133+C137</f>
        <v>0</v>
      </c>
      <c r="D132" s="812">
        <f>D133+D137</f>
        <v>0</v>
      </c>
      <c r="E132" s="814">
        <f>E133+E137</f>
        <v>0</v>
      </c>
    </row>
    <row r="133" spans="1:5" ht="12.75" x14ac:dyDescent="0.2">
      <c r="A133" s="31" t="s">
        <v>304</v>
      </c>
      <c r="B133" s="812">
        <f>SUM(B134:B136)</f>
        <v>0</v>
      </c>
      <c r="C133" s="812">
        <f>SUM(C134:C136)</f>
        <v>0</v>
      </c>
      <c r="D133" s="812">
        <f>SUM(D134:D136)</f>
        <v>0</v>
      </c>
      <c r="E133" s="814">
        <f>SUM(E134:E136)</f>
        <v>0</v>
      </c>
    </row>
    <row r="134" spans="1:5" ht="12.75" x14ac:dyDescent="0.2">
      <c r="A134" s="31" t="s">
        <v>94</v>
      </c>
      <c r="B134" s="812"/>
      <c r="C134" s="812"/>
      <c r="D134" s="812"/>
      <c r="E134" s="814"/>
    </row>
    <row r="135" spans="1:5" ht="12.75" x14ac:dyDescent="0.2">
      <c r="A135" s="31" t="s">
        <v>95</v>
      </c>
      <c r="B135" s="812"/>
      <c r="C135" s="812"/>
      <c r="D135" s="812"/>
      <c r="E135" s="814"/>
    </row>
    <row r="136" spans="1:5" ht="12.75" x14ac:dyDescent="0.2">
      <c r="A136" s="31" t="s">
        <v>96</v>
      </c>
      <c r="B136" s="812"/>
      <c r="C136" s="812"/>
      <c r="D136" s="812"/>
      <c r="E136" s="814"/>
    </row>
    <row r="137" spans="1:5" ht="12.75" x14ac:dyDescent="0.2">
      <c r="A137" s="31" t="s">
        <v>305</v>
      </c>
      <c r="B137" s="812">
        <f>SUM(B138:B140)</f>
        <v>0</v>
      </c>
      <c r="C137" s="812">
        <f>SUM(C138:C140)</f>
        <v>0</v>
      </c>
      <c r="D137" s="812">
        <f>SUM(D138:D140)</f>
        <v>0</v>
      </c>
      <c r="E137" s="814">
        <f>SUM(E138:E140)</f>
        <v>0</v>
      </c>
    </row>
    <row r="138" spans="1:5" ht="12.75" x14ac:dyDescent="0.2">
      <c r="A138" s="31" t="s">
        <v>97</v>
      </c>
      <c r="B138" s="812"/>
      <c r="C138" s="812"/>
      <c r="D138" s="812"/>
      <c r="E138" s="814"/>
    </row>
    <row r="139" spans="1:5" ht="12.75" x14ac:dyDescent="0.2">
      <c r="A139" s="31" t="s">
        <v>98</v>
      </c>
      <c r="B139" s="812"/>
      <c r="C139" s="812"/>
      <c r="D139" s="812"/>
      <c r="E139" s="814"/>
    </row>
    <row r="140" spans="1:5" ht="12.75" x14ac:dyDescent="0.2">
      <c r="A140" s="31" t="s">
        <v>96</v>
      </c>
      <c r="B140" s="812"/>
      <c r="C140" s="812"/>
      <c r="D140" s="812"/>
      <c r="E140" s="814"/>
    </row>
    <row r="141" spans="1:5" ht="12.75" x14ac:dyDescent="0.2">
      <c r="A141" s="31" t="s">
        <v>748</v>
      </c>
      <c r="B141" s="812">
        <f>B142+B146</f>
        <v>0</v>
      </c>
      <c r="C141" s="812">
        <f>C142+C146</f>
        <v>0</v>
      </c>
      <c r="D141" s="812">
        <f>D142+D146</f>
        <v>0</v>
      </c>
      <c r="E141" s="814">
        <f>E142+E146</f>
        <v>0</v>
      </c>
    </row>
    <row r="142" spans="1:5" ht="12.75" x14ac:dyDescent="0.2">
      <c r="A142" s="31" t="s">
        <v>304</v>
      </c>
      <c r="B142" s="812">
        <f>SUM(B143:B145)</f>
        <v>0</v>
      </c>
      <c r="C142" s="812">
        <f>SUM(C143:C145)</f>
        <v>0</v>
      </c>
      <c r="D142" s="812">
        <f>SUM(D143:D145)</f>
        <v>0</v>
      </c>
      <c r="E142" s="814">
        <f>SUM(E143:E145)</f>
        <v>0</v>
      </c>
    </row>
    <row r="143" spans="1:5" ht="12.75" x14ac:dyDescent="0.2">
      <c r="A143" s="31" t="s">
        <v>94</v>
      </c>
      <c r="B143" s="812"/>
      <c r="C143" s="812"/>
      <c r="D143" s="812"/>
      <c r="E143" s="814"/>
    </row>
    <row r="144" spans="1:5" ht="12.75" x14ac:dyDescent="0.2">
      <c r="A144" s="31" t="s">
        <v>95</v>
      </c>
      <c r="B144" s="812"/>
      <c r="C144" s="812"/>
      <c r="D144" s="812"/>
      <c r="E144" s="814"/>
    </row>
    <row r="145" spans="1:5" ht="12.75" x14ac:dyDescent="0.2">
      <c r="A145" s="31" t="s">
        <v>96</v>
      </c>
      <c r="B145" s="812"/>
      <c r="C145" s="812"/>
      <c r="D145" s="812"/>
      <c r="E145" s="814"/>
    </row>
    <row r="146" spans="1:5" ht="12.75" x14ac:dyDescent="0.2">
      <c r="A146" s="31" t="s">
        <v>305</v>
      </c>
      <c r="B146" s="812">
        <f>SUM(B147:B149)</f>
        <v>0</v>
      </c>
      <c r="C146" s="812">
        <f>SUM(C147:C149)</f>
        <v>0</v>
      </c>
      <c r="D146" s="812">
        <f>SUM(D147:D149)</f>
        <v>0</v>
      </c>
      <c r="E146" s="814">
        <f>SUM(E147:E149)</f>
        <v>0</v>
      </c>
    </row>
    <row r="147" spans="1:5" ht="12.75" x14ac:dyDescent="0.2">
      <c r="A147" s="31" t="s">
        <v>97</v>
      </c>
      <c r="B147" s="812"/>
      <c r="C147" s="812"/>
      <c r="D147" s="812"/>
      <c r="E147" s="814"/>
    </row>
    <row r="148" spans="1:5" ht="12.75" x14ac:dyDescent="0.2">
      <c r="A148" s="31" t="s">
        <v>98</v>
      </c>
      <c r="B148" s="812"/>
      <c r="C148" s="812"/>
      <c r="D148" s="812"/>
      <c r="E148" s="814"/>
    </row>
    <row r="149" spans="1:5" ht="12.75" x14ac:dyDescent="0.2">
      <c r="A149" s="31" t="s">
        <v>96</v>
      </c>
      <c r="B149" s="812"/>
      <c r="C149" s="812"/>
      <c r="D149" s="812"/>
      <c r="E149" s="814"/>
    </row>
    <row r="150" spans="1:5" ht="12.75" x14ac:dyDescent="0.2">
      <c r="A150" s="31" t="s">
        <v>333</v>
      </c>
      <c r="B150" s="812">
        <f>SUM(B151:B153)</f>
        <v>0</v>
      </c>
      <c r="C150" s="812">
        <f>SUM(C151:C153)</f>
        <v>0</v>
      </c>
      <c r="D150" s="812">
        <f>SUM(D151:D153)</f>
        <v>0</v>
      </c>
      <c r="E150" s="814">
        <f>SUM(E151:E153)</f>
        <v>0</v>
      </c>
    </row>
    <row r="151" spans="1:5" ht="12.75" x14ac:dyDescent="0.2">
      <c r="A151" s="31" t="s">
        <v>16</v>
      </c>
      <c r="B151" s="812"/>
      <c r="C151" s="812"/>
      <c r="D151" s="812"/>
      <c r="E151" s="814"/>
    </row>
    <row r="152" spans="1:5" ht="12.75" x14ac:dyDescent="0.2">
      <c r="A152" s="31" t="s">
        <v>17</v>
      </c>
      <c r="B152" s="812"/>
      <c r="C152" s="812"/>
      <c r="D152" s="812"/>
      <c r="E152" s="814"/>
    </row>
    <row r="153" spans="1:5" ht="12.75" x14ac:dyDescent="0.2">
      <c r="A153" s="31" t="s">
        <v>18</v>
      </c>
      <c r="B153" s="812"/>
      <c r="C153" s="812"/>
      <c r="D153" s="812"/>
      <c r="E153" s="814"/>
    </row>
    <row r="154" spans="1:5" ht="12.75" x14ac:dyDescent="0.2">
      <c r="A154" s="31" t="s">
        <v>194</v>
      </c>
      <c r="B154" s="812"/>
      <c r="C154" s="812"/>
      <c r="D154" s="812"/>
      <c r="E154" s="814"/>
    </row>
    <row r="155" spans="1:5" ht="12.75" x14ac:dyDescent="0.2">
      <c r="A155" s="31" t="s">
        <v>306</v>
      </c>
      <c r="B155" s="812">
        <f>SUM(B156:B157)</f>
        <v>0</v>
      </c>
      <c r="C155" s="812">
        <f>SUM(C156:C157)</f>
        <v>0</v>
      </c>
      <c r="D155" s="812">
        <f>SUM(D156:D157)</f>
        <v>0</v>
      </c>
      <c r="E155" s="814">
        <f>SUM(E156:E157)</f>
        <v>0</v>
      </c>
    </row>
    <row r="156" spans="1:5" ht="12.75" x14ac:dyDescent="0.2">
      <c r="A156" s="31" t="s">
        <v>195</v>
      </c>
      <c r="B156" s="812"/>
      <c r="C156" s="812"/>
      <c r="D156" s="812"/>
      <c r="E156" s="814"/>
    </row>
    <row r="157" spans="1:5" ht="12.75" x14ac:dyDescent="0.2">
      <c r="A157" s="31" t="s">
        <v>99</v>
      </c>
      <c r="B157" s="812"/>
      <c r="C157" s="812"/>
      <c r="D157" s="812"/>
      <c r="E157" s="814"/>
    </row>
    <row r="158" spans="1:5" ht="12.75" x14ac:dyDescent="0.2">
      <c r="A158" s="31" t="s">
        <v>973</v>
      </c>
      <c r="B158" s="812">
        <f>SUM(B159:B161)</f>
        <v>0</v>
      </c>
      <c r="C158" s="812">
        <f>SUM(C159:C161)</f>
        <v>0</v>
      </c>
      <c r="D158" s="812">
        <f>SUM(D159:D161)</f>
        <v>0</v>
      </c>
      <c r="E158" s="814">
        <f>SUM(E159:E161)</f>
        <v>0</v>
      </c>
    </row>
    <row r="159" spans="1:5" ht="12.75" x14ac:dyDescent="0.2">
      <c r="A159" s="31" t="s">
        <v>91</v>
      </c>
      <c r="B159" s="812"/>
      <c r="C159" s="812"/>
      <c r="D159" s="812"/>
      <c r="E159" s="814"/>
    </row>
    <row r="160" spans="1:5" ht="12.75" x14ac:dyDescent="0.2">
      <c r="A160" s="31" t="s">
        <v>196</v>
      </c>
      <c r="B160" s="812"/>
      <c r="C160" s="812"/>
      <c r="D160" s="812"/>
      <c r="E160" s="814"/>
    </row>
    <row r="161" spans="1:9" ht="12.75" x14ac:dyDescent="0.2">
      <c r="A161" s="31" t="s">
        <v>307</v>
      </c>
      <c r="B161" s="812"/>
      <c r="C161" s="812"/>
      <c r="D161" s="812"/>
      <c r="E161" s="814"/>
    </row>
    <row r="162" spans="1:9" ht="12.75" x14ac:dyDescent="0.2">
      <c r="A162" s="182" t="s">
        <v>974</v>
      </c>
      <c r="B162" s="815">
        <f>B131+B158</f>
        <v>0</v>
      </c>
      <c r="C162" s="815">
        <f>C131+C158</f>
        <v>0</v>
      </c>
      <c r="D162" s="815">
        <f>D131+D158</f>
        <v>0</v>
      </c>
      <c r="E162" s="816">
        <f>E131+E158</f>
        <v>0</v>
      </c>
    </row>
    <row r="163" spans="1:9" ht="12.75" hidden="1" x14ac:dyDescent="0.2">
      <c r="A163" s="129"/>
      <c r="B163" s="824"/>
      <c r="C163" s="824"/>
      <c r="D163" s="51"/>
    </row>
    <row r="164" spans="1:9" ht="12.75" hidden="1" x14ac:dyDescent="0.2">
      <c r="A164" s="129"/>
      <c r="B164" s="824"/>
      <c r="C164" s="824"/>
      <c r="D164" s="51"/>
    </row>
    <row r="165" spans="1:9" ht="12.75" hidden="1" x14ac:dyDescent="0.2">
      <c r="A165" s="129"/>
      <c r="B165" s="824"/>
      <c r="C165" s="824"/>
      <c r="D165" s="51"/>
    </row>
    <row r="166" spans="1:9" ht="12.75" hidden="1" x14ac:dyDescent="0.2">
      <c r="A166" s="129"/>
      <c r="B166" s="824"/>
      <c r="C166" s="824"/>
      <c r="D166" s="51"/>
    </row>
    <row r="167" spans="1:9" ht="12.75" hidden="1" x14ac:dyDescent="0.2">
      <c r="A167" s="129"/>
      <c r="B167" s="824"/>
      <c r="C167" s="824"/>
      <c r="D167" s="51"/>
    </row>
    <row r="168" spans="1:9" ht="12.75" x14ac:dyDescent="0.2">
      <c r="A168" s="129"/>
      <c r="B168" s="824"/>
      <c r="C168" s="824"/>
      <c r="D168" s="51"/>
    </row>
    <row r="169" spans="1:9" ht="12.75" x14ac:dyDescent="0.2">
      <c r="A169" s="952" t="s">
        <v>754</v>
      </c>
      <c r="B169" s="947" t="s">
        <v>633</v>
      </c>
      <c r="C169" s="955" t="s">
        <v>208</v>
      </c>
      <c r="D169" s="950" t="s">
        <v>110</v>
      </c>
      <c r="E169" s="951"/>
      <c r="F169" s="950" t="s">
        <v>111</v>
      </c>
      <c r="G169" s="951"/>
      <c r="H169" s="950" t="s">
        <v>344</v>
      </c>
      <c r="I169" s="951"/>
    </row>
    <row r="170" spans="1:9" ht="12.75" x14ac:dyDescent="0.2">
      <c r="A170" s="953"/>
      <c r="B170" s="948"/>
      <c r="C170" s="948"/>
      <c r="D170" s="878" t="str">
        <f>D61</f>
        <v>Até o  Bimestre</v>
      </c>
      <c r="E170" s="878" t="str">
        <f>E61</f>
        <v>Até o  Bimestre</v>
      </c>
      <c r="F170" s="878" t="str">
        <f>D170</f>
        <v>Até o  Bimestre</v>
      </c>
      <c r="G170" s="878" t="str">
        <f>E170</f>
        <v>Até o  Bimestre</v>
      </c>
      <c r="H170" s="877" t="s">
        <v>712</v>
      </c>
      <c r="I170" s="877" t="s">
        <v>711</v>
      </c>
    </row>
    <row r="171" spans="1:9" ht="12.75" x14ac:dyDescent="0.2">
      <c r="A171" s="954"/>
      <c r="B171" s="949"/>
      <c r="C171" s="949"/>
      <c r="D171" s="221" t="s">
        <v>159</v>
      </c>
      <c r="E171" s="221" t="s">
        <v>160</v>
      </c>
      <c r="F171" s="221" t="s">
        <v>159</v>
      </c>
      <c r="G171" s="221" t="s">
        <v>160</v>
      </c>
      <c r="H171" s="880" t="s">
        <v>713</v>
      </c>
      <c r="I171" s="880" t="s">
        <v>160</v>
      </c>
    </row>
    <row r="172" spans="1:9" ht="12.75" x14ac:dyDescent="0.2">
      <c r="A172" s="74" t="s">
        <v>975</v>
      </c>
      <c r="B172" s="812">
        <f t="shared" ref="B172:I172" si="6">SUM(B173:B174)</f>
        <v>0</v>
      </c>
      <c r="C172" s="812">
        <f t="shared" si="6"/>
        <v>0</v>
      </c>
      <c r="D172" s="812">
        <f t="shared" si="6"/>
        <v>0</v>
      </c>
      <c r="E172" s="812">
        <f t="shared" si="6"/>
        <v>0</v>
      </c>
      <c r="F172" s="812">
        <f t="shared" si="6"/>
        <v>0</v>
      </c>
      <c r="G172" s="812">
        <f t="shared" si="6"/>
        <v>0</v>
      </c>
      <c r="H172" s="812">
        <f t="shared" si="6"/>
        <v>0</v>
      </c>
      <c r="I172" s="813">
        <f t="shared" si="6"/>
        <v>0</v>
      </c>
    </row>
    <row r="173" spans="1:9" ht="12.75" x14ac:dyDescent="0.2">
      <c r="A173" s="75" t="s">
        <v>308</v>
      </c>
      <c r="B173" s="812"/>
      <c r="C173" s="812"/>
      <c r="D173" s="812"/>
      <c r="E173" s="812"/>
      <c r="F173" s="812"/>
      <c r="G173" s="812"/>
      <c r="H173" s="812"/>
      <c r="I173" s="814"/>
    </row>
    <row r="174" spans="1:9" ht="12.75" x14ac:dyDescent="0.2">
      <c r="A174" s="75" t="s">
        <v>309</v>
      </c>
      <c r="B174" s="812"/>
      <c r="C174" s="812"/>
      <c r="D174" s="812"/>
      <c r="E174" s="812"/>
      <c r="F174" s="812"/>
      <c r="G174" s="812"/>
      <c r="H174" s="812"/>
      <c r="I174" s="814"/>
    </row>
    <row r="175" spans="1:9" ht="12.75" x14ac:dyDescent="0.2">
      <c r="A175" s="75" t="s">
        <v>976</v>
      </c>
      <c r="B175" s="812">
        <f t="shared" ref="B175:I175" si="7">B176+B180+B184</f>
        <v>0</v>
      </c>
      <c r="C175" s="812">
        <f t="shared" si="7"/>
        <v>0</v>
      </c>
      <c r="D175" s="812">
        <f t="shared" si="7"/>
        <v>0</v>
      </c>
      <c r="E175" s="812">
        <f t="shared" si="7"/>
        <v>0</v>
      </c>
      <c r="F175" s="812">
        <f t="shared" si="7"/>
        <v>0</v>
      </c>
      <c r="G175" s="812">
        <f t="shared" si="7"/>
        <v>0</v>
      </c>
      <c r="H175" s="812">
        <f t="shared" si="7"/>
        <v>0</v>
      </c>
      <c r="I175" s="814">
        <f t="shared" si="7"/>
        <v>0</v>
      </c>
    </row>
    <row r="176" spans="1:9" ht="12.75" x14ac:dyDescent="0.2">
      <c r="A176" s="75" t="s">
        <v>752</v>
      </c>
      <c r="B176" s="812">
        <f t="shared" ref="B176:I176" si="8">SUM(B177:B179)</f>
        <v>0</v>
      </c>
      <c r="C176" s="812">
        <f t="shared" si="8"/>
        <v>0</v>
      </c>
      <c r="D176" s="812">
        <f t="shared" si="8"/>
        <v>0</v>
      </c>
      <c r="E176" s="812">
        <f t="shared" si="8"/>
        <v>0</v>
      </c>
      <c r="F176" s="812">
        <f t="shared" si="8"/>
        <v>0</v>
      </c>
      <c r="G176" s="812">
        <f t="shared" si="8"/>
        <v>0</v>
      </c>
      <c r="H176" s="812">
        <f t="shared" si="8"/>
        <v>0</v>
      </c>
      <c r="I176" s="814">
        <f t="shared" si="8"/>
        <v>0</v>
      </c>
    </row>
    <row r="177" spans="1:9" ht="12.75" x14ac:dyDescent="0.2">
      <c r="A177" s="75" t="s">
        <v>310</v>
      </c>
      <c r="B177" s="812"/>
      <c r="C177" s="812"/>
      <c r="D177" s="812"/>
      <c r="E177" s="812"/>
      <c r="F177" s="812"/>
      <c r="G177" s="812"/>
      <c r="H177" s="812"/>
      <c r="I177" s="814"/>
    </row>
    <row r="178" spans="1:9" ht="12.75" x14ac:dyDescent="0.2">
      <c r="A178" s="75" t="s">
        <v>311</v>
      </c>
      <c r="B178" s="812"/>
      <c r="C178" s="812"/>
      <c r="D178" s="812"/>
      <c r="E178" s="812"/>
      <c r="F178" s="812"/>
      <c r="G178" s="812"/>
      <c r="H178" s="812"/>
      <c r="I178" s="814"/>
    </row>
    <row r="179" spans="1:9" ht="12.75" x14ac:dyDescent="0.2">
      <c r="A179" s="75" t="s">
        <v>312</v>
      </c>
      <c r="B179" s="812"/>
      <c r="C179" s="812"/>
      <c r="D179" s="812"/>
      <c r="E179" s="812"/>
      <c r="F179" s="812"/>
      <c r="G179" s="812"/>
      <c r="H179" s="812"/>
      <c r="I179" s="814"/>
    </row>
    <row r="180" spans="1:9" ht="12.75" x14ac:dyDescent="0.2">
      <c r="A180" s="75" t="s">
        <v>753</v>
      </c>
      <c r="B180" s="812">
        <f t="shared" ref="B180:I180" si="9">SUM(B181:B183)</f>
        <v>0</v>
      </c>
      <c r="C180" s="812">
        <f t="shared" si="9"/>
        <v>0</v>
      </c>
      <c r="D180" s="812">
        <f t="shared" si="9"/>
        <v>0</v>
      </c>
      <c r="E180" s="812">
        <f t="shared" si="9"/>
        <v>0</v>
      </c>
      <c r="F180" s="812">
        <f t="shared" si="9"/>
        <v>0</v>
      </c>
      <c r="G180" s="812">
        <f t="shared" si="9"/>
        <v>0</v>
      </c>
      <c r="H180" s="812">
        <f t="shared" si="9"/>
        <v>0</v>
      </c>
      <c r="I180" s="814">
        <f t="shared" si="9"/>
        <v>0</v>
      </c>
    </row>
    <row r="181" spans="1:9" ht="12.75" x14ac:dyDescent="0.2">
      <c r="A181" s="75" t="s">
        <v>313</v>
      </c>
      <c r="B181" s="812"/>
      <c r="C181" s="812"/>
      <c r="D181" s="812"/>
      <c r="E181" s="812"/>
      <c r="F181" s="812"/>
      <c r="G181" s="812"/>
      <c r="H181" s="812"/>
      <c r="I181" s="814"/>
    </row>
    <row r="182" spans="1:9" ht="12.75" x14ac:dyDescent="0.2">
      <c r="A182" s="75" t="s">
        <v>311</v>
      </c>
      <c r="B182" s="812"/>
      <c r="C182" s="812"/>
      <c r="D182" s="812"/>
      <c r="E182" s="812"/>
      <c r="F182" s="812"/>
      <c r="G182" s="812"/>
      <c r="H182" s="812"/>
      <c r="I182" s="814"/>
    </row>
    <row r="183" spans="1:9" ht="12.75" x14ac:dyDescent="0.2">
      <c r="A183" s="75" t="s">
        <v>312</v>
      </c>
      <c r="B183" s="812"/>
      <c r="C183" s="812"/>
      <c r="D183" s="812"/>
      <c r="E183" s="812"/>
      <c r="F183" s="812"/>
      <c r="G183" s="812"/>
      <c r="H183" s="812"/>
      <c r="I183" s="814"/>
    </row>
    <row r="184" spans="1:9" ht="12.75" x14ac:dyDescent="0.2">
      <c r="A184" s="75" t="s">
        <v>314</v>
      </c>
      <c r="B184" s="812">
        <f t="shared" ref="B184:I184" si="10">SUM(B185:B186)</f>
        <v>0</v>
      </c>
      <c r="C184" s="812">
        <f t="shared" si="10"/>
        <v>0</v>
      </c>
      <c r="D184" s="812">
        <f t="shared" si="10"/>
        <v>0</v>
      </c>
      <c r="E184" s="812">
        <f t="shared" si="10"/>
        <v>0</v>
      </c>
      <c r="F184" s="812">
        <f t="shared" si="10"/>
        <v>0</v>
      </c>
      <c r="G184" s="812">
        <f t="shared" si="10"/>
        <v>0</v>
      </c>
      <c r="H184" s="812">
        <f t="shared" si="10"/>
        <v>0</v>
      </c>
      <c r="I184" s="814">
        <f t="shared" si="10"/>
        <v>0</v>
      </c>
    </row>
    <row r="185" spans="1:9" ht="12.75" x14ac:dyDescent="0.2">
      <c r="A185" s="75" t="s">
        <v>197</v>
      </c>
      <c r="B185" s="812"/>
      <c r="C185" s="812"/>
      <c r="D185" s="812"/>
      <c r="E185" s="812"/>
      <c r="F185" s="812"/>
      <c r="G185" s="812"/>
      <c r="H185" s="812"/>
      <c r="I185" s="814"/>
    </row>
    <row r="186" spans="1:9" ht="12.75" x14ac:dyDescent="0.2">
      <c r="A186" s="75" t="s">
        <v>40</v>
      </c>
      <c r="B186" s="812"/>
      <c r="C186" s="812"/>
      <c r="D186" s="812"/>
      <c r="E186" s="812"/>
      <c r="F186" s="812"/>
      <c r="G186" s="812"/>
      <c r="H186" s="812"/>
      <c r="I186" s="817"/>
    </row>
    <row r="187" spans="1:9" ht="12.75" x14ac:dyDescent="0.2">
      <c r="A187" s="183" t="s">
        <v>977</v>
      </c>
      <c r="B187" s="815">
        <f t="shared" ref="B187:I187" si="11">B172+B175</f>
        <v>0</v>
      </c>
      <c r="C187" s="815">
        <f t="shared" si="11"/>
        <v>0</v>
      </c>
      <c r="D187" s="815">
        <f t="shared" si="11"/>
        <v>0</v>
      </c>
      <c r="E187" s="815">
        <f t="shared" si="11"/>
        <v>0</v>
      </c>
      <c r="F187" s="815">
        <f t="shared" si="11"/>
        <v>0</v>
      </c>
      <c r="G187" s="815">
        <f t="shared" si="11"/>
        <v>0</v>
      </c>
      <c r="H187" s="815">
        <f t="shared" si="11"/>
        <v>0</v>
      </c>
      <c r="I187" s="816">
        <f t="shared" si="11"/>
        <v>0</v>
      </c>
    </row>
    <row r="188" spans="1:9" ht="12.75" x14ac:dyDescent="0.2">
      <c r="A188" s="184" t="s">
        <v>978</v>
      </c>
      <c r="B188" s="815">
        <f>B162-B187</f>
        <v>0</v>
      </c>
      <c r="C188" s="815">
        <f>C162-C187</f>
        <v>0</v>
      </c>
      <c r="D188" s="815">
        <f>D162-D187</f>
        <v>0</v>
      </c>
      <c r="E188" s="815">
        <f>E162-E187</f>
        <v>0</v>
      </c>
      <c r="F188" s="815">
        <f>D162-F187</f>
        <v>0</v>
      </c>
      <c r="G188" s="815">
        <f>E162-G187</f>
        <v>0</v>
      </c>
      <c r="H188" s="818"/>
      <c r="I188" s="818"/>
    </row>
    <row r="189" spans="1:9" ht="12.75" hidden="1" x14ac:dyDescent="0.2">
      <c r="A189" s="129"/>
      <c r="B189" s="824"/>
      <c r="C189" s="824"/>
      <c r="D189" s="51"/>
    </row>
    <row r="190" spans="1:9" ht="12.75" hidden="1" x14ac:dyDescent="0.2">
      <c r="A190" s="129"/>
      <c r="B190" s="824"/>
      <c r="C190" s="824"/>
      <c r="D190" s="51"/>
    </row>
    <row r="191" spans="1:9" ht="12.75" hidden="1" x14ac:dyDescent="0.2">
      <c r="A191" s="129"/>
      <c r="B191" s="824"/>
      <c r="C191" s="824"/>
      <c r="D191" s="51"/>
    </row>
    <row r="192" spans="1:9" ht="12.75" hidden="1" x14ac:dyDescent="0.2">
      <c r="A192" s="129"/>
      <c r="B192" s="824"/>
      <c r="C192" s="824"/>
      <c r="D192" s="51"/>
    </row>
    <row r="193" spans="1:9" ht="12.75" x14ac:dyDescent="0.2">
      <c r="A193" s="129"/>
      <c r="B193" s="824"/>
      <c r="C193" s="824"/>
      <c r="D193" s="51"/>
    </row>
    <row r="194" spans="1:9" ht="12.75" x14ac:dyDescent="0.2">
      <c r="A194" s="944" t="s">
        <v>771</v>
      </c>
      <c r="B194" s="947" t="s">
        <v>535</v>
      </c>
      <c r="C194" s="824"/>
      <c r="D194" s="51"/>
    </row>
    <row r="195" spans="1:9" ht="12.75" x14ac:dyDescent="0.2">
      <c r="A195" s="945"/>
      <c r="B195" s="948"/>
      <c r="C195" s="824"/>
      <c r="D195" s="51"/>
    </row>
    <row r="196" spans="1:9" ht="12.75" x14ac:dyDescent="0.2">
      <c r="A196" s="946"/>
      <c r="B196" s="949"/>
      <c r="C196" s="824"/>
      <c r="D196" s="51"/>
    </row>
    <row r="197" spans="1:9" ht="12.75" x14ac:dyDescent="0.2">
      <c r="A197" s="692" t="s">
        <v>766</v>
      </c>
      <c r="B197" s="825"/>
      <c r="C197" s="824"/>
      <c r="D197" s="51"/>
    </row>
    <row r="198" spans="1:9" ht="12.75" x14ac:dyDescent="0.2">
      <c r="A198" s="693" t="s">
        <v>767</v>
      </c>
      <c r="B198" s="826"/>
      <c r="C198" s="827"/>
      <c r="D198" s="51"/>
      <c r="E198" s="51"/>
      <c r="F198" s="51"/>
      <c r="G198" s="51"/>
      <c r="H198" s="51"/>
      <c r="I198" s="51"/>
    </row>
    <row r="199" spans="1:9" ht="12.75" hidden="1" x14ac:dyDescent="0.2">
      <c r="A199" s="129"/>
      <c r="B199" s="243"/>
      <c r="C199" s="243"/>
      <c r="D199" s="51"/>
      <c r="E199" s="51"/>
      <c r="F199" s="51"/>
      <c r="G199" s="51"/>
      <c r="H199" s="51"/>
      <c r="I199" s="51"/>
    </row>
    <row r="200" spans="1:9" ht="12.75" hidden="1" x14ac:dyDescent="0.2">
      <c r="A200" s="129"/>
      <c r="B200" s="243"/>
      <c r="C200" s="243"/>
      <c r="D200" s="51"/>
      <c r="E200" s="51"/>
      <c r="F200" s="51"/>
      <c r="G200" s="51"/>
      <c r="H200" s="51"/>
      <c r="I200" s="51"/>
    </row>
    <row r="201" spans="1:9" ht="12.75" hidden="1" x14ac:dyDescent="0.2">
      <c r="A201" s="129"/>
      <c r="B201" s="243"/>
      <c r="C201" s="243"/>
      <c r="D201" s="51"/>
      <c r="E201" s="51"/>
      <c r="F201" s="51"/>
      <c r="G201" s="51"/>
      <c r="H201" s="51"/>
      <c r="I201" s="51"/>
    </row>
    <row r="202" spans="1:9" ht="12.75" hidden="1" x14ac:dyDescent="0.2">
      <c r="A202" s="129"/>
      <c r="B202" s="243"/>
      <c r="C202" s="243"/>
      <c r="D202" s="51"/>
      <c r="E202" s="51"/>
      <c r="F202" s="51"/>
      <c r="G202" s="51"/>
      <c r="H202" s="51"/>
      <c r="I202" s="51"/>
    </row>
    <row r="203" spans="1:9" s="51" customFormat="1" ht="12.75" hidden="1" x14ac:dyDescent="0.2">
      <c r="A203" s="79"/>
      <c r="B203" s="80"/>
      <c r="C203" s="80"/>
      <c r="D203" s="30"/>
      <c r="E203" s="30"/>
      <c r="F203" s="30"/>
      <c r="G203" s="30"/>
      <c r="H203" s="30"/>
      <c r="I203" s="30"/>
    </row>
    <row r="204" spans="1:9" ht="14.25" customHeight="1" x14ac:dyDescent="0.2">
      <c r="A204" s="925" t="s">
        <v>1050</v>
      </c>
      <c r="B204" s="925"/>
      <c r="C204" s="925"/>
      <c r="D204" s="925"/>
      <c r="E204" s="925"/>
      <c r="F204" s="925"/>
      <c r="G204" s="925"/>
      <c r="H204" s="925"/>
      <c r="I204" s="925"/>
    </row>
    <row r="205" spans="1:9" s="51" customFormat="1" ht="11.25" customHeight="1" x14ac:dyDescent="0.2"/>
    <row r="206" spans="1:9" ht="11.25" customHeight="1" x14ac:dyDescent="0.2">
      <c r="A206" s="935"/>
      <c r="B206" s="935"/>
      <c r="C206" s="935"/>
      <c r="D206" s="935"/>
      <c r="E206" s="935"/>
      <c r="F206" s="935"/>
      <c r="G206" s="935"/>
      <c r="H206" s="935"/>
      <c r="I206" s="935"/>
    </row>
    <row r="210" spans="1:9" s="874" customFormat="1" ht="11.25" customHeight="1" x14ac:dyDescent="0.2">
      <c r="A210" s="879" t="s">
        <v>1024</v>
      </c>
      <c r="B210" s="881"/>
      <c r="C210" s="879" t="s">
        <v>1026</v>
      </c>
      <c r="E210" s="879"/>
      <c r="F210" s="882"/>
      <c r="G210" s="879" t="s">
        <v>1028</v>
      </c>
      <c r="H210" s="881"/>
    </row>
    <row r="211" spans="1:9" s="874" customFormat="1" ht="11.25" customHeight="1" x14ac:dyDescent="0.2">
      <c r="A211" s="879" t="s">
        <v>1025</v>
      </c>
      <c r="B211" s="882"/>
      <c r="C211" s="879" t="s">
        <v>1027</v>
      </c>
      <c r="E211" s="879"/>
      <c r="F211" s="882"/>
      <c r="G211" s="879" t="s">
        <v>1029</v>
      </c>
      <c r="I211" s="881"/>
    </row>
    <row r="212" spans="1:9" s="874" customFormat="1" ht="11.25" customHeight="1" x14ac:dyDescent="0.2">
      <c r="C212" s="879" t="s">
        <v>1040</v>
      </c>
      <c r="E212" s="879"/>
      <c r="G212" s="879" t="s">
        <v>1041</v>
      </c>
    </row>
  </sheetData>
  <dataConsolidate/>
  <mergeCells count="29">
    <mergeCell ref="H60:I60"/>
    <mergeCell ref="B103:B105"/>
    <mergeCell ref="A60:A62"/>
    <mergeCell ref="C128:C130"/>
    <mergeCell ref="D128:E128"/>
    <mergeCell ref="A103:A105"/>
    <mergeCell ref="A117:A118"/>
    <mergeCell ref="B60:B62"/>
    <mergeCell ref="C60:C62"/>
    <mergeCell ref="F60:G60"/>
    <mergeCell ref="D60:E60"/>
    <mergeCell ref="B117:C117"/>
    <mergeCell ref="B128:B130"/>
    <mergeCell ref="A11:F11"/>
    <mergeCell ref="A13:F13"/>
    <mergeCell ref="A14:F14"/>
    <mergeCell ref="B18:B20"/>
    <mergeCell ref="C18:C20"/>
    <mergeCell ref="D18:E18"/>
    <mergeCell ref="A194:A196"/>
    <mergeCell ref="B194:B196"/>
    <mergeCell ref="A204:I204"/>
    <mergeCell ref="A206:I206"/>
    <mergeCell ref="H169:I169"/>
    <mergeCell ref="A169:A171"/>
    <mergeCell ref="B169:B171"/>
    <mergeCell ref="C169:C171"/>
    <mergeCell ref="F169:G169"/>
    <mergeCell ref="D169:E169"/>
  </mergeCells>
  <phoneticPr fontId="3" type="noConversion"/>
  <printOptions horizontalCentered="1"/>
  <pageMargins left="0.23622047244094491" right="0.23622047244094491" top="0.59055118110236227" bottom="0.59055118110236227" header="0" footer="0.19685039370078741"/>
  <pageSetup paperSize="9" scale="6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I249"/>
  <sheetViews>
    <sheetView showGridLines="0" zoomScaleNormal="100" workbookViewId="0"/>
  </sheetViews>
  <sheetFormatPr defaultColWidth="16.7109375" defaultRowHeight="11.25" customHeight="1" x14ac:dyDescent="0.2"/>
  <cols>
    <col min="1" max="1" width="56.28515625" style="196" customWidth="1"/>
    <col min="2" max="2" width="16.7109375" style="196" customWidth="1"/>
    <col min="3" max="3" width="16.7109375" style="194" customWidth="1"/>
    <col min="4" max="8" width="16.7109375" style="196" customWidth="1"/>
    <col min="9" max="254" width="7.85546875" style="196" customWidth="1"/>
    <col min="255" max="255" width="55" style="196" customWidth="1"/>
    <col min="256" max="16384" width="16.7109375" style="196"/>
  </cols>
  <sheetData>
    <row r="1" spans="1:4" ht="12.75" x14ac:dyDescent="0.2">
      <c r="A1" s="438"/>
    </row>
    <row r="2" spans="1:4" ht="25.5" customHeight="1" x14ac:dyDescent="0.2">
      <c r="A2" s="850" t="s">
        <v>1019</v>
      </c>
    </row>
    <row r="3" spans="1:4" ht="15.75" customHeight="1" x14ac:dyDescent="0.2">
      <c r="A3" s="851" t="s">
        <v>1020</v>
      </c>
    </row>
    <row r="4" spans="1:4" ht="15.75" customHeight="1" x14ac:dyDescent="0.2">
      <c r="A4" s="851" t="s">
        <v>1021</v>
      </c>
    </row>
    <row r="5" spans="1:4" ht="15.75" customHeight="1" x14ac:dyDescent="0.2">
      <c r="A5" s="851" t="s">
        <v>1022</v>
      </c>
    </row>
    <row r="6" spans="1:4" ht="15.75" x14ac:dyDescent="0.25">
      <c r="A6" s="45" t="s">
        <v>690</v>
      </c>
    </row>
    <row r="7" spans="1:4" ht="12.75" x14ac:dyDescent="0.2">
      <c r="A7" s="74"/>
      <c r="B7" s="74"/>
      <c r="C7" s="195"/>
      <c r="D7" s="74"/>
    </row>
    <row r="8" spans="1:4" ht="12.75" x14ac:dyDescent="0.2">
      <c r="A8" s="17" t="s">
        <v>1019</v>
      </c>
      <c r="B8" s="218"/>
      <c r="C8" s="218"/>
      <c r="D8" s="218"/>
    </row>
    <row r="9" spans="1:4" ht="12.75" x14ac:dyDescent="0.2">
      <c r="A9" s="218" t="s">
        <v>74</v>
      </c>
      <c r="B9" s="218"/>
      <c r="C9" s="218"/>
      <c r="D9" s="218"/>
    </row>
    <row r="10" spans="1:4" ht="12.75" x14ac:dyDescent="0.2">
      <c r="A10" s="217" t="s">
        <v>964</v>
      </c>
      <c r="B10" s="217"/>
      <c r="C10" s="217"/>
      <c r="D10" s="217"/>
    </row>
    <row r="11" spans="1:4" ht="12.75" x14ac:dyDescent="0.2">
      <c r="A11" s="920" t="s">
        <v>76</v>
      </c>
      <c r="B11" s="920"/>
      <c r="C11" s="920"/>
      <c r="D11" s="920"/>
    </row>
    <row r="12" spans="1:4" ht="12.75" x14ac:dyDescent="0.2">
      <c r="A12" s="4" t="s">
        <v>1023</v>
      </c>
      <c r="B12" s="765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31"/>
      <c r="D12" s="31"/>
    </row>
    <row r="13" spans="1:4" ht="12.75" hidden="1" x14ac:dyDescent="0.2">
      <c r="A13" s="920"/>
      <c r="B13" s="920"/>
      <c r="C13" s="920"/>
      <c r="D13" s="920"/>
    </row>
    <row r="14" spans="1:4" ht="12.75" hidden="1" x14ac:dyDescent="0.2">
      <c r="A14" s="920"/>
      <c r="B14" s="920"/>
      <c r="C14" s="920"/>
      <c r="D14" s="920"/>
    </row>
    <row r="15" spans="1:4" ht="11.25" hidden="1" customHeight="1" x14ac:dyDescent="0.2">
      <c r="A15" s="218"/>
      <c r="B15" s="218"/>
      <c r="C15" s="218"/>
      <c r="D15" s="218"/>
    </row>
    <row r="16" spans="1:4" ht="11.25" customHeight="1" x14ac:dyDescent="0.2">
      <c r="A16" s="31"/>
      <c r="B16" s="31"/>
      <c r="C16" s="31"/>
      <c r="D16" s="31"/>
    </row>
    <row r="17" spans="1:4" ht="11.25" customHeight="1" x14ac:dyDescent="0.2">
      <c r="A17" s="197" t="s">
        <v>691</v>
      </c>
      <c r="C17" s="34" t="s">
        <v>692</v>
      </c>
      <c r="D17" s="220"/>
    </row>
    <row r="18" spans="1:4" ht="11.25" customHeight="1" x14ac:dyDescent="0.2">
      <c r="A18" s="198"/>
      <c r="B18" s="1007" t="s">
        <v>207</v>
      </c>
      <c r="C18" s="975" t="s">
        <v>78</v>
      </c>
      <c r="D18" s="696"/>
    </row>
    <row r="19" spans="1:4" ht="11.25" customHeight="1" x14ac:dyDescent="0.2">
      <c r="A19" s="199" t="s">
        <v>693</v>
      </c>
      <c r="B19" s="957"/>
      <c r="C19" s="977"/>
      <c r="D19" s="194"/>
    </row>
    <row r="20" spans="1:4" ht="11.25" customHeight="1" x14ac:dyDescent="0.2">
      <c r="A20" s="200"/>
      <c r="B20" s="958"/>
      <c r="C20" s="695" t="str">
        <f>CONCATENATE("Até o  ", B12)</f>
        <v>Até o  Bimestre</v>
      </c>
      <c r="D20" s="194"/>
    </row>
    <row r="21" spans="1:4" ht="11.25" customHeight="1" x14ac:dyDescent="0.2">
      <c r="A21" s="41" t="s">
        <v>845</v>
      </c>
      <c r="B21" s="315">
        <f>B22+B28+B29+B32+B41</f>
        <v>1103483533.26</v>
      </c>
      <c r="C21" s="314">
        <f>C22+C28+C29+C32+C41</f>
        <v>1386884667.25</v>
      </c>
      <c r="D21" s="313"/>
    </row>
    <row r="22" spans="1:4" ht="11.25" customHeight="1" x14ac:dyDescent="0.2">
      <c r="A22" s="602" t="s">
        <v>835</v>
      </c>
      <c r="B22" s="316">
        <f>SUM(B23:B27)</f>
        <v>283216009.31999999</v>
      </c>
      <c r="C22" s="314">
        <f>SUM(C23:C27)</f>
        <v>334685019.73000002</v>
      </c>
      <c r="D22" s="313"/>
    </row>
    <row r="23" spans="1:4" ht="11.25" customHeight="1" x14ac:dyDescent="0.2">
      <c r="A23" s="201" t="s">
        <v>849</v>
      </c>
      <c r="B23" s="316">
        <v>111775000</v>
      </c>
      <c r="C23" s="314">
        <v>122675133.69</v>
      </c>
      <c r="D23" s="607"/>
    </row>
    <row r="24" spans="1:4" ht="11.25" customHeight="1" x14ac:dyDescent="0.2">
      <c r="A24" s="41" t="s">
        <v>846</v>
      </c>
      <c r="B24" s="316">
        <v>86668000</v>
      </c>
      <c r="C24" s="314">
        <v>101571459.15000001</v>
      </c>
      <c r="D24" s="607"/>
    </row>
    <row r="25" spans="1:4" ht="11.25" customHeight="1" x14ac:dyDescent="0.2">
      <c r="A25" s="41" t="s">
        <v>847</v>
      </c>
      <c r="B25" s="316">
        <v>24225500</v>
      </c>
      <c r="C25" s="314">
        <v>35021176.060000002</v>
      </c>
      <c r="D25" s="607"/>
    </row>
    <row r="26" spans="1:4" ht="11.25" customHeight="1" x14ac:dyDescent="0.2">
      <c r="A26" s="41" t="s">
        <v>848</v>
      </c>
      <c r="B26" s="316">
        <v>29397509.32</v>
      </c>
      <c r="C26" s="314">
        <v>39764183.850000001</v>
      </c>
      <c r="D26" s="607"/>
    </row>
    <row r="27" spans="1:4" ht="11.25" customHeight="1" x14ac:dyDescent="0.2">
      <c r="A27" s="41" t="s">
        <v>923</v>
      </c>
      <c r="B27" s="316">
        <v>31150000</v>
      </c>
      <c r="C27" s="314">
        <v>35653066.979999997</v>
      </c>
      <c r="D27" s="607"/>
    </row>
    <row r="28" spans="1:4" ht="11.25" customHeight="1" x14ac:dyDescent="0.2">
      <c r="A28" s="41" t="s">
        <v>836</v>
      </c>
      <c r="B28" s="316">
        <v>139192400</v>
      </c>
      <c r="C28" s="314">
        <v>155874646.59999999</v>
      </c>
      <c r="D28" s="313"/>
    </row>
    <row r="29" spans="1:4" ht="11.25" customHeight="1" x14ac:dyDescent="0.2">
      <c r="A29" s="41" t="s">
        <v>837</v>
      </c>
      <c r="B29" s="316">
        <f>SUM(B30:B31)</f>
        <v>26096598.370000001</v>
      </c>
      <c r="C29" s="314">
        <f>SUM(C30:C31)</f>
        <v>206914597.53</v>
      </c>
      <c r="D29" s="607"/>
    </row>
    <row r="30" spans="1:4" ht="11.25" customHeight="1" x14ac:dyDescent="0.2">
      <c r="A30" s="41" t="s">
        <v>850</v>
      </c>
      <c r="B30" s="316">
        <v>24977598.370000001</v>
      </c>
      <c r="C30" s="314">
        <v>205434136.34999999</v>
      </c>
      <c r="D30" s="607"/>
    </row>
    <row r="31" spans="1:4" ht="11.25" customHeight="1" x14ac:dyDescent="0.2">
      <c r="A31" s="41" t="s">
        <v>832</v>
      </c>
      <c r="B31" s="316">
        <v>1119000</v>
      </c>
      <c r="C31" s="314">
        <v>1480461.18</v>
      </c>
      <c r="D31" s="313"/>
    </row>
    <row r="32" spans="1:4" ht="11.25" customHeight="1" x14ac:dyDescent="0.2">
      <c r="A32" s="41" t="s">
        <v>838</v>
      </c>
      <c r="B32" s="316">
        <f>SUM(B33:B40)</f>
        <v>521691819.25999999</v>
      </c>
      <c r="C32" s="314">
        <f>SUM(C33:C40)</f>
        <v>543164005.18000007</v>
      </c>
      <c r="D32" s="607"/>
    </row>
    <row r="33" spans="1:4" ht="11.25" customHeight="1" x14ac:dyDescent="0.2">
      <c r="A33" s="41" t="s">
        <v>851</v>
      </c>
      <c r="B33" s="316">
        <v>61600000</v>
      </c>
      <c r="C33" s="314">
        <v>61054958.280000001</v>
      </c>
      <c r="D33" s="607"/>
    </row>
    <row r="34" spans="1:4" ht="11.25" customHeight="1" x14ac:dyDescent="0.2">
      <c r="A34" s="41" t="s">
        <v>852</v>
      </c>
      <c r="B34" s="316">
        <v>192800000</v>
      </c>
      <c r="C34" s="314">
        <v>202741822.12</v>
      </c>
      <c r="D34" s="313"/>
    </row>
    <row r="35" spans="1:4" ht="11.25" customHeight="1" x14ac:dyDescent="0.2">
      <c r="A35" s="41" t="s">
        <v>853</v>
      </c>
      <c r="B35" s="316">
        <v>48800000</v>
      </c>
      <c r="C35" s="314">
        <v>51892548.310000002</v>
      </c>
      <c r="D35" s="607"/>
    </row>
    <row r="36" spans="1:4" ht="11.25" customHeight="1" x14ac:dyDescent="0.2">
      <c r="A36" s="41" t="s">
        <v>854</v>
      </c>
      <c r="B36" s="316">
        <v>760000</v>
      </c>
      <c r="C36" s="314">
        <v>634497.1</v>
      </c>
      <c r="D36" s="607"/>
    </row>
    <row r="37" spans="1:4" ht="11.25" customHeight="1" x14ac:dyDescent="0.2">
      <c r="A37" s="41" t="s">
        <v>855</v>
      </c>
      <c r="B37" s="316">
        <v>880000</v>
      </c>
      <c r="C37" s="314">
        <v>0</v>
      </c>
      <c r="D37" s="607"/>
    </row>
    <row r="38" spans="1:4" ht="11.25" customHeight="1" x14ac:dyDescent="0.2">
      <c r="A38" s="41" t="s">
        <v>856</v>
      </c>
      <c r="B38" s="316">
        <v>1360000</v>
      </c>
      <c r="C38" s="314">
        <v>1436937.41</v>
      </c>
      <c r="D38" s="607"/>
    </row>
    <row r="39" spans="1:4" ht="11.25" customHeight="1" x14ac:dyDescent="0.2">
      <c r="A39" s="41" t="s">
        <v>857</v>
      </c>
      <c r="B39" s="316">
        <v>120172586.90000001</v>
      </c>
      <c r="C39" s="314">
        <v>119901112.43000001</v>
      </c>
      <c r="D39" s="607"/>
    </row>
    <row r="40" spans="1:4" ht="11.25" customHeight="1" x14ac:dyDescent="0.2">
      <c r="A40" s="41" t="s">
        <v>858</v>
      </c>
      <c r="B40" s="316">
        <v>95319232.359999999</v>
      </c>
      <c r="C40" s="314">
        <v>105502129.53</v>
      </c>
      <c r="D40" s="313"/>
    </row>
    <row r="41" spans="1:4" ht="11.25" customHeight="1" x14ac:dyDescent="0.2">
      <c r="A41" s="41" t="s">
        <v>839</v>
      </c>
      <c r="B41" s="316">
        <f>SUM(B42:B43)</f>
        <v>133286706.31</v>
      </c>
      <c r="C41" s="314">
        <f>SUM(C42:C43)</f>
        <v>146246398.21000001</v>
      </c>
      <c r="D41" s="607"/>
    </row>
    <row r="42" spans="1:4" ht="11.25" customHeight="1" x14ac:dyDescent="0.2">
      <c r="A42" s="41" t="s">
        <v>859</v>
      </c>
      <c r="B42" s="316"/>
      <c r="C42" s="314"/>
      <c r="D42" s="607"/>
    </row>
    <row r="43" spans="1:4" ht="11.25" customHeight="1" x14ac:dyDescent="0.2">
      <c r="A43" s="41" t="s">
        <v>860</v>
      </c>
      <c r="B43" s="316">
        <v>133286706.31</v>
      </c>
      <c r="C43" s="314">
        <v>146246398.21000001</v>
      </c>
      <c r="D43" s="313"/>
    </row>
    <row r="44" spans="1:4" ht="11.25" customHeight="1" x14ac:dyDescent="0.2">
      <c r="A44" s="41" t="s">
        <v>861</v>
      </c>
      <c r="B44" s="316">
        <f>B21-B30-B42</f>
        <v>1078505934.8900001</v>
      </c>
      <c r="C44" s="314">
        <f>C21-C30-C42</f>
        <v>1181450530.9000001</v>
      </c>
      <c r="D44" s="607"/>
    </row>
    <row r="45" spans="1:4" ht="11.25" customHeight="1" x14ac:dyDescent="0.2">
      <c r="A45" s="41" t="s">
        <v>862</v>
      </c>
      <c r="B45" s="316">
        <f>B46+B47+B48+B52+B55</f>
        <v>17858428.190000001</v>
      </c>
      <c r="C45" s="314">
        <f>C46+C47+C48+C52+C55</f>
        <v>3778557.29</v>
      </c>
      <c r="D45" s="607"/>
    </row>
    <row r="46" spans="1:4" s="202" customFormat="1" ht="11.25" customHeight="1" x14ac:dyDescent="0.2">
      <c r="A46" s="41" t="s">
        <v>840</v>
      </c>
      <c r="B46" s="316">
        <v>15282108.76</v>
      </c>
      <c r="C46" s="314">
        <v>448485.81</v>
      </c>
      <c r="D46" s="607"/>
    </row>
    <row r="47" spans="1:4" ht="11.25" customHeight="1" x14ac:dyDescent="0.2">
      <c r="A47" s="41" t="s">
        <v>841</v>
      </c>
      <c r="B47" s="316"/>
      <c r="C47" s="314"/>
      <c r="D47" s="313"/>
    </row>
    <row r="48" spans="1:4" ht="11.25" customHeight="1" x14ac:dyDescent="0.2">
      <c r="A48" s="41" t="s">
        <v>842</v>
      </c>
      <c r="B48" s="316">
        <f>SUM(B49:B51)</f>
        <v>20000</v>
      </c>
      <c r="C48" s="314">
        <f>SUM(C49:C51)</f>
        <v>1930939.54</v>
      </c>
      <c r="D48" s="607"/>
    </row>
    <row r="49" spans="1:4" ht="11.25" customHeight="1" x14ac:dyDescent="0.2">
      <c r="A49" s="41" t="s">
        <v>867</v>
      </c>
      <c r="B49" s="316"/>
      <c r="C49" s="314"/>
      <c r="D49" s="607"/>
    </row>
    <row r="50" spans="1:4" ht="11.25" customHeight="1" x14ac:dyDescent="0.2">
      <c r="A50" s="41" t="s">
        <v>866</v>
      </c>
      <c r="B50" s="316"/>
      <c r="C50" s="314"/>
      <c r="D50" s="607"/>
    </row>
    <row r="51" spans="1:4" ht="11.25" customHeight="1" x14ac:dyDescent="0.2">
      <c r="A51" s="41" t="s">
        <v>865</v>
      </c>
      <c r="B51" s="316">
        <v>20000</v>
      </c>
      <c r="C51" s="314">
        <v>1930939.54</v>
      </c>
      <c r="D51" s="607"/>
    </row>
    <row r="52" spans="1:4" ht="11.25" customHeight="1" x14ac:dyDescent="0.2">
      <c r="A52" s="41" t="s">
        <v>843</v>
      </c>
      <c r="B52" s="316">
        <f>SUM(B53:B54)</f>
        <v>2556319.4300000002</v>
      </c>
      <c r="C52" s="314">
        <f>SUM(C53:C54)</f>
        <v>1399131.94</v>
      </c>
      <c r="D52" s="607"/>
    </row>
    <row r="53" spans="1:4" ht="11.25" customHeight="1" x14ac:dyDescent="0.2">
      <c r="A53" s="41" t="s">
        <v>863</v>
      </c>
      <c r="B53" s="316">
        <v>2556319.4300000002</v>
      </c>
      <c r="C53" s="314">
        <v>1151561.94</v>
      </c>
      <c r="D53" s="607"/>
    </row>
    <row r="54" spans="1:4" ht="11.25" customHeight="1" x14ac:dyDescent="0.2">
      <c r="A54" s="41" t="s">
        <v>864</v>
      </c>
      <c r="B54" s="316">
        <v>0</v>
      </c>
      <c r="C54" s="314">
        <v>247570</v>
      </c>
      <c r="D54" s="607"/>
    </row>
    <row r="55" spans="1:4" ht="11.25" customHeight="1" x14ac:dyDescent="0.2">
      <c r="A55" s="41" t="s">
        <v>844</v>
      </c>
      <c r="B55" s="316">
        <f>SUM(B56:B57)</f>
        <v>0</v>
      </c>
      <c r="C55" s="314">
        <f>SUM(C56:C57)</f>
        <v>0</v>
      </c>
      <c r="D55" s="607"/>
    </row>
    <row r="56" spans="1:4" ht="11.25" customHeight="1" x14ac:dyDescent="0.2">
      <c r="A56" s="41" t="s">
        <v>868</v>
      </c>
      <c r="B56" s="316"/>
      <c r="C56" s="314"/>
      <c r="D56" s="607"/>
    </row>
    <row r="57" spans="1:4" ht="11.25" customHeight="1" x14ac:dyDescent="0.2">
      <c r="A57" s="41" t="s">
        <v>869</v>
      </c>
      <c r="B57" s="316"/>
      <c r="C57" s="314"/>
      <c r="D57" s="607"/>
    </row>
    <row r="58" spans="1:4" ht="11.25" customHeight="1" x14ac:dyDescent="0.2">
      <c r="A58" s="41" t="s">
        <v>870</v>
      </c>
      <c r="B58" s="316">
        <f>B45-B46-B47-B49-B50-B56</f>
        <v>2576319.4300000016</v>
      </c>
      <c r="C58" s="314">
        <f>C45-C46-C47-C49-C50-C56</f>
        <v>3330071.48</v>
      </c>
      <c r="D58" s="607"/>
    </row>
    <row r="59" spans="1:4" ht="11.25" customHeight="1" x14ac:dyDescent="0.2">
      <c r="A59" s="666" t="s">
        <v>871</v>
      </c>
      <c r="B59" s="565">
        <f>B44+B58</f>
        <v>1081082254.3200002</v>
      </c>
      <c r="C59" s="564">
        <f>C44+C58</f>
        <v>1184780602.3800001</v>
      </c>
      <c r="D59" s="313"/>
    </row>
    <row r="60" spans="1:4" ht="11.25" hidden="1" customHeight="1" x14ac:dyDescent="0.2">
      <c r="A60" s="165"/>
      <c r="B60" s="605"/>
      <c r="C60" s="606"/>
      <c r="D60" s="313"/>
    </row>
    <row r="61" spans="1:4" ht="11.25" customHeight="1" x14ac:dyDescent="0.2">
      <c r="A61" s="138"/>
      <c r="B61" s="252"/>
      <c r="C61" s="195"/>
      <c r="D61" s="195"/>
    </row>
    <row r="62" spans="1:4" ht="11.25" hidden="1" customHeight="1" x14ac:dyDescent="0.2">
      <c r="A62" s="41"/>
      <c r="B62" s="253"/>
      <c r="C62" s="195"/>
      <c r="D62" s="195"/>
    </row>
    <row r="63" spans="1:4" ht="11.25" hidden="1" customHeight="1" x14ac:dyDescent="0.2">
      <c r="A63" s="41"/>
      <c r="B63" s="253"/>
      <c r="C63" s="195"/>
      <c r="D63" s="195"/>
    </row>
    <row r="64" spans="1:4" ht="11.25" hidden="1" customHeight="1" x14ac:dyDescent="0.2">
      <c r="A64" s="41"/>
      <c r="B64" s="253"/>
      <c r="C64" s="195"/>
      <c r="D64" s="195"/>
    </row>
    <row r="65" spans="1:8" ht="12.75" x14ac:dyDescent="0.2">
      <c r="A65" s="1008" t="s">
        <v>694</v>
      </c>
      <c r="B65" s="989" t="s">
        <v>902</v>
      </c>
      <c r="C65" s="992" t="s">
        <v>873</v>
      </c>
      <c r="D65" s="993"/>
      <c r="E65" s="993"/>
      <c r="F65" s="993"/>
      <c r="G65" s="993"/>
      <c r="H65" s="994"/>
    </row>
    <row r="66" spans="1:8" ht="15" customHeight="1" x14ac:dyDescent="0.2">
      <c r="A66" s="1009"/>
      <c r="B66" s="990"/>
      <c r="C66" s="981" t="s">
        <v>903</v>
      </c>
      <c r="D66" s="981" t="s">
        <v>111</v>
      </c>
      <c r="E66" s="981" t="s">
        <v>907</v>
      </c>
      <c r="F66" s="980" t="s">
        <v>908</v>
      </c>
      <c r="G66" s="983" t="s">
        <v>904</v>
      </c>
      <c r="H66" s="984"/>
    </row>
    <row r="67" spans="1:8" ht="23.25" customHeight="1" x14ac:dyDescent="0.2">
      <c r="A67" s="1009"/>
      <c r="B67" s="990"/>
      <c r="C67" s="981"/>
      <c r="D67" s="981"/>
      <c r="E67" s="995"/>
      <c r="F67" s="981"/>
      <c r="G67" s="985"/>
      <c r="H67" s="986"/>
    </row>
    <row r="68" spans="1:8" ht="11.25" customHeight="1" x14ac:dyDescent="0.2">
      <c r="A68" s="1009"/>
      <c r="B68" s="990"/>
      <c r="C68" s="981"/>
      <c r="D68" s="981"/>
      <c r="E68" s="995"/>
      <c r="F68" s="981"/>
      <c r="G68" s="987"/>
      <c r="H68" s="988"/>
    </row>
    <row r="69" spans="1:8" ht="11.25" customHeight="1" x14ac:dyDescent="0.2">
      <c r="A69" s="1010"/>
      <c r="B69" s="991"/>
      <c r="C69" s="982"/>
      <c r="D69" s="982"/>
      <c r="E69" s="996"/>
      <c r="F69" s="982"/>
      <c r="G69" s="660" t="s">
        <v>905</v>
      </c>
      <c r="H69" s="694" t="s">
        <v>906</v>
      </c>
    </row>
    <row r="70" spans="1:8" ht="11.25" customHeight="1" x14ac:dyDescent="0.2">
      <c r="A70" s="608" t="s">
        <v>910</v>
      </c>
      <c r="B70" s="314">
        <f t="shared" ref="B70:H70" si="0">SUM(B71:B73)</f>
        <v>1152132309.54</v>
      </c>
      <c r="C70" s="316">
        <f t="shared" si="0"/>
        <v>1086750058.9000001</v>
      </c>
      <c r="D70" s="314">
        <f t="shared" si="0"/>
        <v>1048767860.33</v>
      </c>
      <c r="E70" s="556">
        <f t="shared" si="0"/>
        <v>1020496038.74</v>
      </c>
      <c r="F70" s="314">
        <f t="shared" si="0"/>
        <v>21160673.399999999</v>
      </c>
      <c r="G70" s="316">
        <f t="shared" si="0"/>
        <v>37840519.380000003</v>
      </c>
      <c r="H70" s="314">
        <f t="shared" si="0"/>
        <v>37840519.380000003</v>
      </c>
    </row>
    <row r="71" spans="1:8" ht="11.25" customHeight="1" x14ac:dyDescent="0.2">
      <c r="A71" s="608" t="s">
        <v>162</v>
      </c>
      <c r="B71" s="314">
        <v>530959516.44</v>
      </c>
      <c r="C71" s="316">
        <v>511515881.17000002</v>
      </c>
      <c r="D71" s="314">
        <v>511064905.23000002</v>
      </c>
      <c r="E71" s="556">
        <v>496223627.56999999</v>
      </c>
      <c r="F71" s="314">
        <v>11350102.460000001</v>
      </c>
      <c r="G71" s="316">
        <v>323823.38</v>
      </c>
      <c r="H71" s="314">
        <v>323823.38</v>
      </c>
    </row>
    <row r="72" spans="1:8" ht="11.25" customHeight="1" x14ac:dyDescent="0.2">
      <c r="A72" s="608" t="s">
        <v>911</v>
      </c>
      <c r="B72" s="314">
        <v>7721866.2699999996</v>
      </c>
      <c r="C72" s="316">
        <v>4843523.05</v>
      </c>
      <c r="D72" s="314">
        <v>4843523.05</v>
      </c>
      <c r="E72" s="556">
        <v>4843523.05</v>
      </c>
      <c r="F72" s="314">
        <v>0</v>
      </c>
      <c r="G72" s="316">
        <v>0</v>
      </c>
      <c r="H72" s="314">
        <v>0</v>
      </c>
    </row>
    <row r="73" spans="1:8" ht="11.25" customHeight="1" x14ac:dyDescent="0.2">
      <c r="A73" s="608" t="s">
        <v>163</v>
      </c>
      <c r="B73" s="314">
        <v>613450926.83000004</v>
      </c>
      <c r="C73" s="316">
        <v>570390654.67999995</v>
      </c>
      <c r="D73" s="314">
        <v>532859432.05000001</v>
      </c>
      <c r="E73" s="556">
        <v>519428888.12</v>
      </c>
      <c r="F73" s="314">
        <v>9810570.9399999995</v>
      </c>
      <c r="G73" s="316">
        <v>37516696</v>
      </c>
      <c r="H73" s="314">
        <v>37516696</v>
      </c>
    </row>
    <row r="74" spans="1:8" ht="11.25" customHeight="1" x14ac:dyDescent="0.2">
      <c r="A74" s="608" t="s">
        <v>912</v>
      </c>
      <c r="B74" s="314">
        <f t="shared" ref="B74:H74" si="1">B70-B72</f>
        <v>1144410443.27</v>
      </c>
      <c r="C74" s="316">
        <f t="shared" si="1"/>
        <v>1081906535.8500001</v>
      </c>
      <c r="D74" s="314">
        <f t="shared" si="1"/>
        <v>1043924337.2800001</v>
      </c>
      <c r="E74" s="556">
        <f t="shared" si="1"/>
        <v>1015652515.6900001</v>
      </c>
      <c r="F74" s="314">
        <f t="shared" si="1"/>
        <v>21160673.399999999</v>
      </c>
      <c r="G74" s="316">
        <f t="shared" si="1"/>
        <v>37840519.380000003</v>
      </c>
      <c r="H74" s="314">
        <f t="shared" si="1"/>
        <v>37840519.380000003</v>
      </c>
    </row>
    <row r="75" spans="1:8" ht="11.25" customHeight="1" x14ac:dyDescent="0.2">
      <c r="A75" s="608" t="s">
        <v>913</v>
      </c>
      <c r="B75" s="314">
        <f t="shared" ref="B75:H75" si="2">B76+B77+B82</f>
        <v>199102359.76999998</v>
      </c>
      <c r="C75" s="316">
        <f t="shared" si="2"/>
        <v>149883126.35999998</v>
      </c>
      <c r="D75" s="314">
        <f t="shared" si="2"/>
        <v>118178715.40000001</v>
      </c>
      <c r="E75" s="556">
        <f t="shared" si="2"/>
        <v>117548387.94</v>
      </c>
      <c r="F75" s="314">
        <f t="shared" si="2"/>
        <v>3934626.12</v>
      </c>
      <c r="G75" s="316">
        <f t="shared" si="2"/>
        <v>22512914.890000001</v>
      </c>
      <c r="H75" s="314">
        <f t="shared" si="2"/>
        <v>22512914.890000001</v>
      </c>
    </row>
    <row r="76" spans="1:8" ht="11.25" customHeight="1" x14ac:dyDescent="0.2">
      <c r="A76" s="658" t="s">
        <v>689</v>
      </c>
      <c r="B76" s="314">
        <v>189033759.66999999</v>
      </c>
      <c r="C76" s="316">
        <v>142537906.22</v>
      </c>
      <c r="D76" s="314">
        <v>110833495.26000001</v>
      </c>
      <c r="E76" s="556">
        <v>110203167.8</v>
      </c>
      <c r="F76" s="314">
        <v>3934626.12</v>
      </c>
      <c r="G76" s="316">
        <v>22512914.890000001</v>
      </c>
      <c r="H76" s="314">
        <v>22512914.890000001</v>
      </c>
    </row>
    <row r="77" spans="1:8" ht="11.25" customHeight="1" x14ac:dyDescent="0.2">
      <c r="A77" s="608" t="s">
        <v>220</v>
      </c>
      <c r="B77" s="314">
        <f t="shared" ref="B77:H77" si="3">SUM(B78:B81)</f>
        <v>0</v>
      </c>
      <c r="C77" s="316">
        <f t="shared" si="3"/>
        <v>0</v>
      </c>
      <c r="D77" s="314">
        <f t="shared" si="3"/>
        <v>0</v>
      </c>
      <c r="E77" s="556">
        <f t="shared" si="3"/>
        <v>0</v>
      </c>
      <c r="F77" s="314">
        <f t="shared" si="3"/>
        <v>0</v>
      </c>
      <c r="G77" s="316">
        <f t="shared" si="3"/>
        <v>0</v>
      </c>
      <c r="H77" s="314">
        <f t="shared" si="3"/>
        <v>0</v>
      </c>
    </row>
    <row r="78" spans="1:8" ht="11.25" customHeight="1" x14ac:dyDescent="0.2">
      <c r="A78" s="608" t="s">
        <v>914</v>
      </c>
      <c r="B78" s="314"/>
      <c r="C78" s="316"/>
      <c r="D78" s="314"/>
      <c r="E78" s="556"/>
      <c r="F78" s="314"/>
      <c r="G78" s="316"/>
      <c r="H78" s="314"/>
    </row>
    <row r="79" spans="1:8" ht="11.25" customHeight="1" x14ac:dyDescent="0.2">
      <c r="A79" s="608" t="s">
        <v>915</v>
      </c>
      <c r="B79" s="314"/>
      <c r="C79" s="316"/>
      <c r="D79" s="314"/>
      <c r="E79" s="556"/>
      <c r="F79" s="314"/>
      <c r="G79" s="316"/>
      <c r="H79" s="314"/>
    </row>
    <row r="80" spans="1:8" ht="11.25" customHeight="1" x14ac:dyDescent="0.2">
      <c r="A80" s="608" t="s">
        <v>916</v>
      </c>
      <c r="B80" s="314"/>
      <c r="C80" s="316"/>
      <c r="D80" s="314"/>
      <c r="E80" s="556"/>
      <c r="F80" s="314"/>
      <c r="G80" s="316"/>
      <c r="H80" s="314"/>
    </row>
    <row r="81" spans="1:8" ht="11.25" customHeight="1" x14ac:dyDescent="0.2">
      <c r="A81" s="608" t="s">
        <v>695</v>
      </c>
      <c r="B81" s="314"/>
      <c r="C81" s="316"/>
      <c r="D81" s="314"/>
      <c r="E81" s="556"/>
      <c r="F81" s="314"/>
      <c r="G81" s="316"/>
      <c r="H81" s="314"/>
    </row>
    <row r="82" spans="1:8" ht="11.25" customHeight="1" x14ac:dyDescent="0.2">
      <c r="A82" s="608" t="s">
        <v>917</v>
      </c>
      <c r="B82" s="314">
        <v>10068600.1</v>
      </c>
      <c r="C82" s="316">
        <v>7345220.1399999997</v>
      </c>
      <c r="D82" s="314">
        <v>7345220.1399999997</v>
      </c>
      <c r="E82" s="556">
        <v>7345220.1399999997</v>
      </c>
      <c r="F82" s="314">
        <v>0</v>
      </c>
      <c r="G82" s="316">
        <v>0</v>
      </c>
      <c r="H82" s="314">
        <v>0</v>
      </c>
    </row>
    <row r="83" spans="1:8" ht="25.5" customHeight="1" x14ac:dyDescent="0.2">
      <c r="A83" s="697" t="s">
        <v>918</v>
      </c>
      <c r="B83" s="716">
        <f t="shared" ref="B83:H83" si="4">B75-B78-B79-B80-B82</f>
        <v>189033759.66999999</v>
      </c>
      <c r="C83" s="717">
        <f t="shared" si="4"/>
        <v>142537906.22</v>
      </c>
      <c r="D83" s="716">
        <f t="shared" si="4"/>
        <v>110833495.26000001</v>
      </c>
      <c r="E83" s="718">
        <f t="shared" si="4"/>
        <v>110203167.8</v>
      </c>
      <c r="F83" s="716">
        <f t="shared" si="4"/>
        <v>3934626.12</v>
      </c>
      <c r="G83" s="717">
        <f t="shared" si="4"/>
        <v>22512914.890000001</v>
      </c>
      <c r="H83" s="716">
        <f t="shared" si="4"/>
        <v>22512914.890000001</v>
      </c>
    </row>
    <row r="84" spans="1:8" ht="11.25" customHeight="1" x14ac:dyDescent="0.2">
      <c r="A84" s="608" t="s">
        <v>919</v>
      </c>
      <c r="B84" s="314">
        <v>3676100</v>
      </c>
      <c r="C84" s="558"/>
      <c r="D84" s="558"/>
      <c r="E84" s="558"/>
      <c r="F84" s="558"/>
      <c r="G84" s="558"/>
      <c r="H84" s="559"/>
    </row>
    <row r="85" spans="1:8" ht="11.25" customHeight="1" x14ac:dyDescent="0.2">
      <c r="A85" s="615" t="s">
        <v>909</v>
      </c>
      <c r="B85" s="564">
        <f>B74+B83+B84</f>
        <v>1337120302.9400001</v>
      </c>
      <c r="C85" s="565">
        <f t="shared" ref="C85:H85" si="5">C74+C83</f>
        <v>1224444442.0700002</v>
      </c>
      <c r="D85" s="564">
        <f t="shared" si="5"/>
        <v>1154757832.5400002</v>
      </c>
      <c r="E85" s="566">
        <f t="shared" si="5"/>
        <v>1125855683.49</v>
      </c>
      <c r="F85" s="565">
        <f t="shared" si="5"/>
        <v>25095299.52</v>
      </c>
      <c r="G85" s="565">
        <f t="shared" si="5"/>
        <v>60353434.270000003</v>
      </c>
      <c r="H85" s="564">
        <f t="shared" si="5"/>
        <v>60353434.270000003</v>
      </c>
    </row>
    <row r="86" spans="1:8" ht="11.25" hidden="1" customHeight="1" x14ac:dyDescent="0.2">
      <c r="A86" s="204"/>
      <c r="B86" s="565"/>
      <c r="C86" s="565"/>
      <c r="D86" s="564"/>
      <c r="E86" s="566"/>
      <c r="F86" s="565"/>
      <c r="G86" s="565"/>
      <c r="H86" s="564"/>
    </row>
    <row r="87" spans="1:8" ht="11.25" hidden="1" customHeight="1" x14ac:dyDescent="0.2">
      <c r="A87" s="204"/>
      <c r="B87" s="565"/>
      <c r="C87" s="565"/>
      <c r="D87" s="564"/>
      <c r="E87" s="566"/>
      <c r="F87" s="565"/>
      <c r="G87" s="565"/>
      <c r="H87" s="564"/>
    </row>
    <row r="88" spans="1:8" ht="11.25" hidden="1" customHeight="1" x14ac:dyDescent="0.2">
      <c r="A88" s="204"/>
      <c r="B88" s="565"/>
      <c r="C88" s="565"/>
      <c r="D88" s="564"/>
      <c r="E88" s="566"/>
      <c r="F88" s="565"/>
      <c r="G88" s="565"/>
      <c r="H88" s="564"/>
    </row>
    <row r="89" spans="1:8" ht="11.25" hidden="1" customHeight="1" x14ac:dyDescent="0.2">
      <c r="A89" s="204"/>
      <c r="B89" s="565"/>
      <c r="C89" s="565"/>
      <c r="D89" s="564"/>
      <c r="E89" s="566"/>
      <c r="F89" s="565"/>
      <c r="G89" s="565"/>
      <c r="H89" s="564"/>
    </row>
    <row r="90" spans="1:8" ht="11.25" hidden="1" customHeight="1" x14ac:dyDescent="0.2">
      <c r="A90" s="204"/>
      <c r="B90" s="565"/>
      <c r="C90" s="565"/>
      <c r="D90" s="564"/>
      <c r="E90" s="566"/>
      <c r="F90" s="565"/>
      <c r="G90" s="565"/>
      <c r="H90" s="564"/>
    </row>
    <row r="91" spans="1:8" ht="11.25" hidden="1" customHeight="1" x14ac:dyDescent="0.2">
      <c r="A91" s="204"/>
      <c r="B91" s="565"/>
      <c r="C91" s="565"/>
      <c r="D91" s="564"/>
      <c r="E91" s="566"/>
      <c r="F91" s="565"/>
      <c r="G91" s="565"/>
      <c r="H91" s="564"/>
    </row>
    <row r="92" spans="1:8" ht="11.25" hidden="1" customHeight="1" x14ac:dyDescent="0.2">
      <c r="A92" s="204"/>
      <c r="B92" s="565"/>
      <c r="C92" s="603"/>
      <c r="D92" s="604"/>
      <c r="E92" s="605"/>
      <c r="F92" s="603"/>
      <c r="G92" s="603"/>
      <c r="H92" s="604"/>
    </row>
    <row r="93" spans="1:8" ht="11.25" customHeight="1" x14ac:dyDescent="0.2">
      <c r="A93" s="43"/>
      <c r="B93" s="346"/>
      <c r="C93" s="313"/>
      <c r="D93" s="313"/>
      <c r="E93" s="313"/>
      <c r="F93" s="313"/>
      <c r="G93" s="313"/>
      <c r="H93" s="313"/>
    </row>
    <row r="94" spans="1:8" ht="26.25" customHeight="1" x14ac:dyDescent="0.2">
      <c r="A94" s="665" t="s">
        <v>872</v>
      </c>
      <c r="B94" s="564">
        <f>C59-(E85+F85+H85)</f>
        <v>-26523814.899999857</v>
      </c>
      <c r="C94" s="313"/>
      <c r="D94" s="313"/>
      <c r="E94" s="313"/>
      <c r="F94" s="313"/>
      <c r="G94" s="313"/>
      <c r="H94" s="607"/>
    </row>
    <row r="95" spans="1:8" ht="11.25" customHeight="1" x14ac:dyDescent="0.2">
      <c r="C95" s="196"/>
    </row>
    <row r="96" spans="1:8" ht="11.25" hidden="1" customHeight="1" x14ac:dyDescent="0.2">
      <c r="A96" s="254"/>
      <c r="B96" s="254"/>
      <c r="C96" s="254"/>
      <c r="D96" s="254"/>
    </row>
    <row r="97" spans="1:8" ht="11.25" hidden="1" customHeight="1" x14ac:dyDescent="0.2">
      <c r="A97" s="254"/>
      <c r="B97" s="254"/>
      <c r="C97" s="254"/>
      <c r="D97" s="254"/>
    </row>
    <row r="98" spans="1:8" ht="11.25" hidden="1" customHeight="1" x14ac:dyDescent="0.2">
      <c r="A98" s="254"/>
      <c r="B98" s="254"/>
      <c r="C98" s="254"/>
      <c r="D98" s="254"/>
    </row>
    <row r="99" spans="1:8" ht="11.25" hidden="1" customHeight="1" x14ac:dyDescent="0.2">
      <c r="C99" s="196"/>
    </row>
    <row r="100" spans="1:8" ht="11.25" hidden="1" customHeight="1" x14ac:dyDescent="0.2">
      <c r="C100" s="196"/>
    </row>
    <row r="101" spans="1:8" ht="11.25" customHeight="1" x14ac:dyDescent="0.2">
      <c r="A101" s="1017" t="s">
        <v>686</v>
      </c>
      <c r="B101" s="975" t="s">
        <v>687</v>
      </c>
      <c r="C101" s="126"/>
      <c r="D101" s="126"/>
      <c r="E101" s="126"/>
      <c r="F101" s="126"/>
      <c r="G101" s="126"/>
      <c r="H101" s="126"/>
    </row>
    <row r="102" spans="1:8" ht="11.25" customHeight="1" x14ac:dyDescent="0.2">
      <c r="A102" s="1018"/>
      <c r="B102" s="977"/>
      <c r="C102" s="126"/>
      <c r="D102" s="126"/>
      <c r="E102" s="126"/>
      <c r="F102" s="126"/>
      <c r="G102" s="126"/>
      <c r="H102" s="126"/>
    </row>
    <row r="103" spans="1:8" ht="25.5" customHeight="1" x14ac:dyDescent="0.2">
      <c r="A103" s="255" t="s">
        <v>698</v>
      </c>
      <c r="B103" s="719">
        <v>19889000</v>
      </c>
      <c r="C103" s="667"/>
      <c r="D103" s="667"/>
      <c r="E103" s="667"/>
      <c r="F103" s="667"/>
      <c r="G103" s="667"/>
      <c r="H103" s="667"/>
    </row>
    <row r="104" spans="1:8" ht="25.5" hidden="1" customHeight="1" x14ac:dyDescent="0.2">
      <c r="A104" s="40"/>
      <c r="B104" s="667"/>
      <c r="C104" s="667"/>
      <c r="D104" s="667"/>
      <c r="E104" s="667"/>
      <c r="F104" s="667"/>
      <c r="G104" s="667"/>
      <c r="H104" s="667"/>
    </row>
    <row r="105" spans="1:8" ht="13.5" customHeight="1" x14ac:dyDescent="0.2"/>
    <row r="106" spans="1:8" ht="11.25" hidden="1" customHeight="1" x14ac:dyDescent="0.2">
      <c r="A106" s="194"/>
      <c r="B106" s="194"/>
      <c r="D106" s="194"/>
    </row>
    <row r="107" spans="1:8" ht="11.25" hidden="1" customHeight="1" x14ac:dyDescent="0.2"/>
    <row r="108" spans="1:8" s="194" customFormat="1" ht="11.25" hidden="1" customHeight="1" x14ac:dyDescent="0.2">
      <c r="A108" s="196"/>
      <c r="B108" s="196"/>
      <c r="D108" s="196"/>
    </row>
    <row r="109" spans="1:8" ht="11.25" hidden="1" customHeight="1" x14ac:dyDescent="0.2"/>
    <row r="110" spans="1:8" s="194" customFormat="1" ht="11.25" customHeight="1" x14ac:dyDescent="0.2">
      <c r="A110" s="1015" t="s">
        <v>874</v>
      </c>
      <c r="B110" s="668" t="str">
        <f>IF(IFERROR(FIND("TRIMESTRE",A12,1),0)&gt;0,"Até o Trimestre",IF(IFERROR(FIND("BIMESTRE",A12,1),0)&gt;0,"Até o Bimestre","Até o Mês"))</f>
        <v>Até o Mês</v>
      </c>
      <c r="C110" s="304"/>
      <c r="D110" s="304"/>
      <c r="E110" s="304"/>
      <c r="F110" s="304"/>
      <c r="G110" s="304"/>
      <c r="H110" s="304"/>
    </row>
    <row r="111" spans="1:8" s="194" customFormat="1" ht="11.25" customHeight="1" x14ac:dyDescent="0.2">
      <c r="A111" s="1016"/>
      <c r="B111" s="668" t="s">
        <v>875</v>
      </c>
      <c r="C111" s="304"/>
      <c r="D111" s="304"/>
      <c r="E111" s="304"/>
      <c r="F111" s="304"/>
      <c r="G111" s="304"/>
      <c r="H111" s="304"/>
    </row>
    <row r="112" spans="1:8" ht="11.25" customHeight="1" x14ac:dyDescent="0.2">
      <c r="A112" s="608" t="s">
        <v>876</v>
      </c>
      <c r="B112" s="728">
        <v>212327530.40000001</v>
      </c>
      <c r="C112" s="304"/>
      <c r="D112" s="304"/>
      <c r="E112" s="304"/>
      <c r="F112" s="304"/>
      <c r="G112" s="304"/>
      <c r="H112" s="304"/>
    </row>
    <row r="113" spans="1:8" ht="11.25" customHeight="1" x14ac:dyDescent="0.2">
      <c r="A113" s="612" t="s">
        <v>877</v>
      </c>
      <c r="B113" s="729">
        <v>5216606.33</v>
      </c>
      <c r="C113" s="304"/>
      <c r="D113" s="304"/>
      <c r="E113" s="304"/>
      <c r="F113" s="304"/>
      <c r="G113" s="304"/>
      <c r="H113" s="304"/>
    </row>
    <row r="115" spans="1:8" ht="11.25" hidden="1" customHeight="1" x14ac:dyDescent="0.2"/>
    <row r="116" spans="1:8" ht="11.25" hidden="1" customHeight="1" x14ac:dyDescent="0.2"/>
    <row r="117" spans="1:8" ht="11.25" hidden="1" customHeight="1" x14ac:dyDescent="0.2"/>
    <row r="118" spans="1:8" ht="11.25" hidden="1" customHeight="1" x14ac:dyDescent="0.2"/>
    <row r="119" spans="1:8" ht="11.25" hidden="1" customHeight="1" x14ac:dyDescent="0.2"/>
    <row r="120" spans="1:8" ht="11.25" hidden="1" customHeight="1" x14ac:dyDescent="0.2"/>
    <row r="121" spans="1:8" ht="11.25" hidden="1" customHeight="1" x14ac:dyDescent="0.2"/>
    <row r="122" spans="1:8" ht="32.25" customHeight="1" x14ac:dyDescent="0.2">
      <c r="A122" s="617" t="s">
        <v>878</v>
      </c>
      <c r="B122" s="726">
        <f>B94+(B112-B113)</f>
        <v>180587109.17000014</v>
      </c>
      <c r="C122" s="669"/>
      <c r="D122" s="669"/>
      <c r="E122" s="669"/>
      <c r="F122" s="669"/>
      <c r="G122" s="669"/>
      <c r="H122" s="669"/>
    </row>
    <row r="124" spans="1:8" ht="11.25" hidden="1" customHeight="1" x14ac:dyDescent="0.2"/>
    <row r="125" spans="1:8" ht="11.25" hidden="1" customHeight="1" x14ac:dyDescent="0.2"/>
    <row r="126" spans="1:8" ht="11.25" hidden="1" customHeight="1" x14ac:dyDescent="0.2"/>
    <row r="127" spans="1:8" ht="11.25" hidden="1" customHeight="1" x14ac:dyDescent="0.2"/>
    <row r="128" spans="1:8" ht="11.25" hidden="1" customHeight="1" x14ac:dyDescent="0.2"/>
    <row r="129" spans="1:8" ht="11.25" customHeight="1" x14ac:dyDescent="0.2">
      <c r="A129" s="1013" t="s">
        <v>879</v>
      </c>
      <c r="B129" s="1011" t="s">
        <v>687</v>
      </c>
      <c r="C129" s="670"/>
      <c r="D129" s="670"/>
      <c r="E129" s="670"/>
      <c r="F129" s="670"/>
      <c r="G129" s="670"/>
      <c r="H129" s="670"/>
    </row>
    <row r="130" spans="1:8" ht="11.25" customHeight="1" x14ac:dyDescent="0.2">
      <c r="A130" s="1014"/>
      <c r="B130" s="1012"/>
      <c r="C130" s="670"/>
      <c r="D130" s="670"/>
      <c r="E130" s="670"/>
      <c r="F130" s="670"/>
      <c r="G130" s="670"/>
      <c r="H130" s="670"/>
    </row>
    <row r="131" spans="1:8" ht="25.5" x14ac:dyDescent="0.2">
      <c r="A131" s="618" t="s">
        <v>880</v>
      </c>
      <c r="B131" s="727">
        <v>0</v>
      </c>
      <c r="C131" s="671"/>
      <c r="D131" s="671"/>
      <c r="E131" s="671"/>
      <c r="F131" s="671"/>
      <c r="G131" s="671"/>
      <c r="H131" s="671"/>
    </row>
    <row r="132" spans="1:8" ht="12.75" hidden="1" x14ac:dyDescent="0.2">
      <c r="A132" s="652"/>
      <c r="B132" s="653"/>
      <c r="C132" s="653"/>
      <c r="D132" s="653"/>
      <c r="E132" s="653"/>
      <c r="F132" s="653"/>
      <c r="G132" s="653"/>
      <c r="H132" s="653"/>
    </row>
    <row r="133" spans="1:8" ht="12.75" hidden="1" x14ac:dyDescent="0.2">
      <c r="A133" s="652"/>
      <c r="B133" s="653"/>
      <c r="C133" s="653"/>
      <c r="D133" s="653"/>
      <c r="E133" s="653"/>
      <c r="F133" s="653"/>
      <c r="G133" s="653"/>
      <c r="H133" s="653"/>
    </row>
    <row r="135" spans="1:8" ht="11.25" customHeight="1" x14ac:dyDescent="0.2">
      <c r="A135" s="999" t="s">
        <v>881</v>
      </c>
      <c r="B135" s="1000"/>
      <c r="C135" s="1001"/>
      <c r="D135" s="662"/>
      <c r="E135" s="662"/>
      <c r="F135" s="662"/>
      <c r="G135" s="662"/>
      <c r="H135" s="662"/>
    </row>
    <row r="136" spans="1:8" ht="11.25" customHeight="1" x14ac:dyDescent="0.2">
      <c r="A136" s="1002"/>
      <c r="B136" s="1003"/>
      <c r="C136" s="1004"/>
      <c r="D136" s="662"/>
      <c r="E136" s="662"/>
      <c r="F136" s="662"/>
      <c r="G136" s="662"/>
      <c r="H136" s="662"/>
    </row>
    <row r="137" spans="1:8" ht="11.25" customHeight="1" x14ac:dyDescent="0.2">
      <c r="A137" s="619"/>
      <c r="B137" s="997" t="s">
        <v>113</v>
      </c>
      <c r="C137" s="998"/>
      <c r="D137" s="236"/>
      <c r="E137" s="236"/>
      <c r="F137" s="236"/>
      <c r="G137" s="236"/>
      <c r="H137" s="236"/>
    </row>
    <row r="138" spans="1:8" ht="11.25" customHeight="1" x14ac:dyDescent="0.2">
      <c r="A138" s="654" t="s">
        <v>882</v>
      </c>
      <c r="B138" s="659" t="s">
        <v>901</v>
      </c>
      <c r="C138" s="761" t="str">
        <f>IF(IFERROR(FIND("TRIMESTRE",A12,1),0)&gt;0,"Até o Trimestre",IF(IFERROR(FIND("BIMESTRE",A12,1),0)&gt;0,"Até o Bimestre","Até o Mês"))</f>
        <v>Até o Mês</v>
      </c>
      <c r="D138" s="656"/>
      <c r="E138" s="656"/>
      <c r="F138" s="194"/>
      <c r="G138" s="194"/>
      <c r="H138" s="194"/>
    </row>
    <row r="139" spans="1:8" ht="11.25" customHeight="1" x14ac:dyDescent="0.2">
      <c r="A139" s="620"/>
      <c r="B139" s="660" t="s">
        <v>85</v>
      </c>
      <c r="C139" s="661" t="s">
        <v>86</v>
      </c>
      <c r="D139" s="657"/>
      <c r="E139" s="657"/>
      <c r="F139" s="194"/>
      <c r="G139" s="194"/>
      <c r="H139" s="194"/>
    </row>
    <row r="140" spans="1:8" ht="11.25" customHeight="1" x14ac:dyDescent="0.2">
      <c r="A140" s="663" t="s">
        <v>883</v>
      </c>
      <c r="B140" s="720">
        <v>59712850.119999997</v>
      </c>
      <c r="C140" s="552">
        <v>53011894.969999999</v>
      </c>
      <c r="D140" s="623"/>
      <c r="E140" s="610"/>
      <c r="F140" s="194"/>
      <c r="G140" s="194"/>
      <c r="H140" s="194"/>
    </row>
    <row r="141" spans="1:8" ht="11.25" customHeight="1" x14ac:dyDescent="0.2">
      <c r="A141" s="621" t="s">
        <v>884</v>
      </c>
      <c r="B141" s="715">
        <f>B142+B145</f>
        <v>468222284.70999998</v>
      </c>
      <c r="C141" s="714">
        <f>C142+C145</f>
        <v>419787530.56</v>
      </c>
      <c r="D141" s="623"/>
      <c r="E141" s="610"/>
      <c r="F141" s="194"/>
      <c r="G141" s="194"/>
      <c r="H141" s="194"/>
    </row>
    <row r="142" spans="1:8" ht="11.25" customHeight="1" x14ac:dyDescent="0.2">
      <c r="A142" s="609" t="s">
        <v>772</v>
      </c>
      <c r="B142" s="715">
        <f>IF(B143&gt;B144,B143-B144,0)</f>
        <v>466664463.88999999</v>
      </c>
      <c r="C142" s="714">
        <f>IF(C143&gt;C144,C143-C144,0)</f>
        <v>417961814.06999999</v>
      </c>
      <c r="D142" s="623"/>
      <c r="E142" s="610"/>
      <c r="F142" s="194"/>
      <c r="G142" s="194"/>
      <c r="H142" s="194"/>
    </row>
    <row r="143" spans="1:8" ht="11.25" customHeight="1" x14ac:dyDescent="0.2">
      <c r="A143" s="609" t="s">
        <v>885</v>
      </c>
      <c r="B143" s="715">
        <v>491892029.76999998</v>
      </c>
      <c r="C143" s="714">
        <v>446863963.12</v>
      </c>
      <c r="D143" s="623"/>
      <c r="E143" s="610"/>
      <c r="F143" s="194"/>
      <c r="G143" s="194"/>
      <c r="H143" s="194"/>
    </row>
    <row r="144" spans="1:8" ht="11.25" customHeight="1" x14ac:dyDescent="0.2">
      <c r="A144" s="609" t="s">
        <v>886</v>
      </c>
      <c r="B144" s="715">
        <v>25227565.879999999</v>
      </c>
      <c r="C144" s="714">
        <v>28902149.050000001</v>
      </c>
      <c r="D144" s="623"/>
      <c r="E144" s="610"/>
      <c r="F144" s="194"/>
      <c r="G144" s="194"/>
      <c r="H144" s="194"/>
    </row>
    <row r="145" spans="1:8" ht="11.25" customHeight="1" x14ac:dyDescent="0.2">
      <c r="A145" s="609" t="s">
        <v>684</v>
      </c>
      <c r="B145" s="715">
        <v>1557820.82</v>
      </c>
      <c r="C145" s="714">
        <v>1825716.49</v>
      </c>
      <c r="D145" s="623"/>
      <c r="E145" s="610"/>
      <c r="F145" s="194"/>
      <c r="G145" s="194"/>
      <c r="H145" s="194"/>
    </row>
    <row r="146" spans="1:8" ht="11.25" customHeight="1" x14ac:dyDescent="0.2">
      <c r="A146" s="664" t="s">
        <v>887</v>
      </c>
      <c r="B146" s="721">
        <f>B140-B141</f>
        <v>-408509434.58999997</v>
      </c>
      <c r="C146" s="722">
        <f>C140-C141</f>
        <v>-366775635.59000003</v>
      </c>
      <c r="D146" s="623"/>
      <c r="E146" s="610"/>
      <c r="F146" s="194"/>
      <c r="G146" s="194"/>
      <c r="H146" s="194"/>
    </row>
    <row r="147" spans="1:8" ht="11.25" hidden="1" customHeight="1" x14ac:dyDescent="0.2">
      <c r="A147" s="621"/>
      <c r="B147" s="622"/>
      <c r="C147" s="622"/>
      <c r="D147" s="623"/>
      <c r="E147" s="610"/>
      <c r="F147" s="194"/>
      <c r="G147" s="194"/>
      <c r="H147" s="194"/>
    </row>
    <row r="148" spans="1:8" ht="11.25" hidden="1" customHeight="1" x14ac:dyDescent="0.2">
      <c r="A148" s="621"/>
      <c r="B148" s="623"/>
      <c r="C148" s="623"/>
      <c r="D148" s="623"/>
      <c r="E148" s="610"/>
      <c r="F148" s="194"/>
      <c r="G148" s="194"/>
      <c r="H148" s="194"/>
    </row>
    <row r="149" spans="1:8" ht="11.25" hidden="1" customHeight="1" x14ac:dyDescent="0.2">
      <c r="A149" s="621"/>
      <c r="B149" s="623"/>
      <c r="C149" s="623"/>
      <c r="D149" s="623"/>
      <c r="E149" s="610"/>
      <c r="F149" s="194"/>
      <c r="G149" s="194"/>
      <c r="H149" s="194"/>
    </row>
    <row r="150" spans="1:8" ht="11.25" hidden="1" customHeight="1" x14ac:dyDescent="0.2">
      <c r="A150" s="621"/>
      <c r="B150" s="623"/>
      <c r="C150" s="623"/>
      <c r="D150" s="623"/>
      <c r="E150" s="610"/>
      <c r="F150" s="194"/>
      <c r="G150" s="194"/>
      <c r="H150" s="194"/>
    </row>
    <row r="151" spans="1:8" ht="11.25" hidden="1" customHeight="1" x14ac:dyDescent="0.2">
      <c r="A151" s="621"/>
      <c r="B151" s="623"/>
      <c r="C151" s="623"/>
      <c r="D151" s="623"/>
      <c r="E151" s="610"/>
      <c r="F151" s="194"/>
      <c r="G151" s="194"/>
      <c r="H151" s="194"/>
    </row>
    <row r="152" spans="1:8" ht="11.25" hidden="1" customHeight="1" x14ac:dyDescent="0.2">
      <c r="A152" s="621"/>
      <c r="B152" s="623"/>
      <c r="C152" s="623"/>
      <c r="D152" s="623"/>
      <c r="E152" s="610"/>
      <c r="F152" s="194"/>
      <c r="G152" s="194"/>
      <c r="H152" s="194"/>
    </row>
    <row r="153" spans="1:8" ht="11.25" hidden="1" customHeight="1" x14ac:dyDescent="0.2">
      <c r="A153" s="621"/>
      <c r="B153" s="623"/>
      <c r="C153" s="623"/>
      <c r="D153" s="623"/>
      <c r="E153" s="610"/>
      <c r="F153" s="194"/>
      <c r="G153" s="194"/>
      <c r="H153" s="194"/>
    </row>
    <row r="154" spans="1:8" ht="11.25" customHeight="1" x14ac:dyDescent="0.2">
      <c r="A154" s="621"/>
      <c r="B154" s="623"/>
      <c r="C154" s="623"/>
      <c r="D154" s="623"/>
      <c r="E154" s="610"/>
      <c r="F154" s="194"/>
      <c r="G154" s="194"/>
      <c r="H154" s="194"/>
    </row>
    <row r="155" spans="1:8" ht="11.25" customHeight="1" x14ac:dyDescent="0.2">
      <c r="A155" s="624" t="s">
        <v>888</v>
      </c>
      <c r="B155" s="554">
        <f>B146-C146</f>
        <v>-41733798.99999994</v>
      </c>
      <c r="C155" s="623"/>
      <c r="D155" s="623"/>
      <c r="E155" s="623"/>
      <c r="F155" s="623"/>
      <c r="G155" s="623"/>
      <c r="H155" s="623"/>
    </row>
    <row r="156" spans="1:8" ht="11.25" customHeight="1" x14ac:dyDescent="0.2">
      <c r="A156" s="625"/>
      <c r="B156" s="623"/>
      <c r="C156" s="623"/>
      <c r="D156" s="623"/>
      <c r="E156" s="623"/>
      <c r="F156" s="623"/>
      <c r="G156" s="623"/>
      <c r="H156" s="623"/>
    </row>
    <row r="157" spans="1:8" ht="11.25" hidden="1" customHeight="1" x14ac:dyDescent="0.2">
      <c r="A157" s="674"/>
      <c r="B157" s="623"/>
      <c r="C157" s="623"/>
      <c r="D157" s="623"/>
      <c r="E157" s="623"/>
      <c r="F157" s="623"/>
      <c r="G157" s="623"/>
      <c r="H157" s="623"/>
    </row>
    <row r="158" spans="1:8" ht="11.25" hidden="1" customHeight="1" x14ac:dyDescent="0.2">
      <c r="A158" s="674"/>
      <c r="B158" s="623"/>
      <c r="C158" s="623"/>
      <c r="D158" s="623"/>
      <c r="E158" s="623"/>
      <c r="F158" s="623"/>
      <c r="G158" s="623"/>
      <c r="H158" s="623"/>
    </row>
    <row r="159" spans="1:8" ht="11.25" hidden="1" customHeight="1" x14ac:dyDescent="0.2">
      <c r="A159" s="674"/>
      <c r="B159" s="623"/>
      <c r="C159" s="623"/>
      <c r="D159" s="623"/>
      <c r="E159" s="623"/>
      <c r="F159" s="623"/>
      <c r="G159" s="623"/>
      <c r="H159" s="623"/>
    </row>
    <row r="160" spans="1:8" ht="11.25" hidden="1" customHeight="1" x14ac:dyDescent="0.2">
      <c r="A160" s="674"/>
      <c r="B160" s="623"/>
      <c r="C160" s="623"/>
      <c r="D160" s="623"/>
      <c r="E160" s="623"/>
      <c r="F160" s="623"/>
      <c r="G160" s="623"/>
      <c r="H160" s="623"/>
    </row>
    <row r="161" spans="1:9" ht="11.25" customHeight="1" x14ac:dyDescent="0.2">
      <c r="A161" s="626"/>
      <c r="B161" s="980" t="str">
        <f>IF(IFERROR(FIND("TRIMESTRE",A12,1),0)&gt;0,"Até o Trimestre",IF(IFERROR(FIND("BIMESTRE",A12,1),0)&gt;0,"Até o Bimestre","Até o Mês"))</f>
        <v>Até o Mês</v>
      </c>
      <c r="C161" s="304"/>
      <c r="D161" s="304"/>
      <c r="E161" s="304"/>
      <c r="F161" s="304"/>
      <c r="G161" s="304"/>
      <c r="H161" s="304"/>
    </row>
    <row r="162" spans="1:9" ht="11.25" customHeight="1" x14ac:dyDescent="0.2">
      <c r="A162" s="655" t="s">
        <v>889</v>
      </c>
      <c r="B162" s="981"/>
      <c r="C162" s="304"/>
      <c r="D162" s="304"/>
      <c r="E162" s="304"/>
      <c r="F162" s="304"/>
      <c r="G162" s="304"/>
      <c r="H162" s="304"/>
    </row>
    <row r="163" spans="1:9" ht="11.25" customHeight="1" x14ac:dyDescent="0.2">
      <c r="A163" s="627"/>
      <c r="B163" s="982"/>
      <c r="C163" s="304"/>
      <c r="D163" s="304"/>
      <c r="E163" s="304"/>
      <c r="F163" s="304"/>
      <c r="G163" s="304"/>
      <c r="H163" s="304"/>
    </row>
    <row r="164" spans="1:9" ht="11.25" customHeight="1" x14ac:dyDescent="0.2">
      <c r="A164" s="628" t="s">
        <v>890</v>
      </c>
      <c r="B164" s="723">
        <f>B144-C144</f>
        <v>-3674583.1700000018</v>
      </c>
      <c r="C164" s="610"/>
      <c r="D164" s="629"/>
      <c r="E164" s="629"/>
      <c r="F164" s="610"/>
      <c r="G164" s="610"/>
      <c r="H164" s="610"/>
    </row>
    <row r="165" spans="1:9" ht="11.25" customHeight="1" x14ac:dyDescent="0.2">
      <c r="A165" s="630" t="s">
        <v>891</v>
      </c>
      <c r="B165" s="723">
        <f>C50</f>
        <v>0</v>
      </c>
      <c r="C165" s="610"/>
      <c r="D165" s="629"/>
      <c r="E165" s="629"/>
      <c r="F165" s="610"/>
      <c r="G165" s="610"/>
      <c r="H165" s="610"/>
    </row>
    <row r="166" spans="1:9" ht="11.25" customHeight="1" x14ac:dyDescent="0.2">
      <c r="A166" s="630" t="s">
        <v>892</v>
      </c>
      <c r="B166" s="723">
        <v>0</v>
      </c>
      <c r="C166" s="610"/>
      <c r="D166" s="629"/>
      <c r="E166" s="629"/>
      <c r="F166" s="610"/>
      <c r="G166" s="610"/>
      <c r="H166" s="610"/>
    </row>
    <row r="167" spans="1:9" ht="11.25" customHeight="1" x14ac:dyDescent="0.2">
      <c r="A167" s="630" t="s">
        <v>981</v>
      </c>
      <c r="B167" s="834"/>
      <c r="C167" s="610"/>
      <c r="D167" s="629"/>
      <c r="E167" s="629"/>
      <c r="F167" s="610"/>
      <c r="G167" s="610"/>
      <c r="H167" s="610"/>
    </row>
    <row r="168" spans="1:9" ht="11.25" customHeight="1" x14ac:dyDescent="0.2">
      <c r="A168" s="630" t="s">
        <v>982</v>
      </c>
      <c r="B168" s="834"/>
      <c r="C168" s="610"/>
      <c r="D168" s="629"/>
      <c r="E168" s="629"/>
      <c r="F168" s="610"/>
      <c r="G168" s="610"/>
      <c r="H168" s="610"/>
    </row>
    <row r="169" spans="1:9" ht="11.25" customHeight="1" x14ac:dyDescent="0.2">
      <c r="A169" s="630" t="s">
        <v>983</v>
      </c>
      <c r="B169" s="723"/>
      <c r="C169" s="610"/>
      <c r="D169" s="629"/>
      <c r="E169" s="629"/>
      <c r="F169" s="610"/>
      <c r="G169" s="610"/>
      <c r="H169" s="610"/>
    </row>
    <row r="170" spans="1:9" ht="25.5" x14ac:dyDescent="0.2">
      <c r="A170" s="631" t="s">
        <v>984</v>
      </c>
      <c r="B170" s="724">
        <f>B155-B164-B165+B166+B167-B168+B169</f>
        <v>-38059215.829999939</v>
      </c>
      <c r="C170" s="672"/>
      <c r="D170" s="672"/>
      <c r="E170" s="672"/>
      <c r="F170" s="672"/>
      <c r="G170" s="672"/>
      <c r="H170" s="672"/>
    </row>
    <row r="171" spans="1:9" ht="11.25" customHeight="1" x14ac:dyDescent="0.2">
      <c r="A171" s="613"/>
      <c r="B171" s="725"/>
      <c r="C171" s="610"/>
      <c r="D171" s="610"/>
      <c r="E171" s="610"/>
      <c r="F171" s="610"/>
      <c r="G171" s="610"/>
      <c r="H171" s="610"/>
      <c r="I171" s="194"/>
    </row>
    <row r="172" spans="1:9" ht="11.25" hidden="1" customHeight="1" x14ac:dyDescent="0.2">
      <c r="A172" s="613"/>
      <c r="B172" s="725"/>
      <c r="C172" s="610"/>
      <c r="D172" s="610"/>
      <c r="E172" s="610"/>
      <c r="F172" s="610"/>
      <c r="G172" s="610"/>
      <c r="H172" s="610"/>
      <c r="I172" s="194"/>
    </row>
    <row r="173" spans="1:9" ht="11.25" hidden="1" customHeight="1" x14ac:dyDescent="0.2">
      <c r="A173" s="613"/>
      <c r="B173" s="725"/>
      <c r="C173" s="610"/>
      <c r="D173" s="610"/>
      <c r="E173" s="610"/>
      <c r="F173" s="610"/>
      <c r="G173" s="610"/>
      <c r="H173" s="610"/>
      <c r="I173" s="194"/>
    </row>
    <row r="174" spans="1:9" ht="11.25" hidden="1" customHeight="1" x14ac:dyDescent="0.2">
      <c r="A174" s="613"/>
      <c r="B174" s="725"/>
      <c r="C174" s="610"/>
      <c r="D174" s="610"/>
      <c r="E174" s="610"/>
      <c r="F174" s="610"/>
      <c r="G174" s="610"/>
      <c r="H174" s="610"/>
      <c r="I174" s="194"/>
    </row>
    <row r="175" spans="1:9" ht="11.25" hidden="1" customHeight="1" x14ac:dyDescent="0.2">
      <c r="A175" s="613"/>
      <c r="B175" s="725"/>
      <c r="C175" s="610"/>
      <c r="D175" s="610"/>
      <c r="E175" s="610"/>
      <c r="F175" s="610"/>
      <c r="G175" s="610"/>
      <c r="H175" s="610"/>
      <c r="I175" s="194"/>
    </row>
    <row r="176" spans="1:9" ht="11.25" hidden="1" customHeight="1" x14ac:dyDescent="0.2">
      <c r="A176" s="613"/>
      <c r="B176" s="725"/>
      <c r="C176" s="610"/>
      <c r="D176" s="610"/>
      <c r="E176" s="610"/>
      <c r="F176" s="610"/>
      <c r="G176" s="610"/>
      <c r="H176" s="610"/>
      <c r="I176" s="194"/>
    </row>
    <row r="177" spans="1:9" ht="11.25" hidden="1" customHeight="1" x14ac:dyDescent="0.2">
      <c r="A177" s="613"/>
      <c r="B177" s="725"/>
      <c r="C177" s="610"/>
      <c r="D177" s="610"/>
      <c r="E177" s="610"/>
      <c r="F177" s="610"/>
      <c r="G177" s="610"/>
      <c r="H177" s="610"/>
      <c r="I177" s="194"/>
    </row>
    <row r="178" spans="1:9" ht="11.25" hidden="1" customHeight="1" x14ac:dyDescent="0.2">
      <c r="A178" s="613"/>
      <c r="B178" s="725"/>
      <c r="C178" s="610"/>
      <c r="D178" s="610"/>
      <c r="E178" s="610"/>
      <c r="F178" s="610"/>
      <c r="G178" s="610"/>
      <c r="H178" s="610"/>
      <c r="I178" s="194"/>
    </row>
    <row r="179" spans="1:9" ht="25.5" x14ac:dyDescent="0.2">
      <c r="A179" s="616" t="s">
        <v>893</v>
      </c>
      <c r="B179" s="724">
        <f>B170-(B112-B113)</f>
        <v>-245170139.89999992</v>
      </c>
      <c r="C179" s="304"/>
      <c r="D179" s="304"/>
      <c r="E179" s="304"/>
      <c r="F179" s="304"/>
      <c r="G179" s="304"/>
      <c r="H179" s="304"/>
      <c r="I179" s="194"/>
    </row>
    <row r="180" spans="1:9" ht="11.25" customHeight="1" x14ac:dyDescent="0.2">
      <c r="A180" s="632"/>
      <c r="B180" s="133"/>
      <c r="C180" s="610"/>
      <c r="D180" s="133"/>
      <c r="E180" s="133"/>
      <c r="F180" s="133"/>
      <c r="G180" s="133"/>
      <c r="H180" s="133"/>
    </row>
    <row r="181" spans="1:9" ht="11.25" hidden="1" customHeight="1" x14ac:dyDescent="0.2">
      <c r="A181" s="675"/>
      <c r="B181" s="133"/>
      <c r="C181" s="610"/>
      <c r="D181" s="133"/>
      <c r="E181" s="133"/>
      <c r="F181" s="133"/>
      <c r="G181" s="133"/>
      <c r="H181" s="133"/>
    </row>
    <row r="182" spans="1:9" ht="11.25" hidden="1" customHeight="1" x14ac:dyDescent="0.2">
      <c r="A182" s="675"/>
      <c r="B182" s="133"/>
      <c r="C182" s="610"/>
      <c r="D182" s="133"/>
      <c r="E182" s="133"/>
      <c r="F182" s="133"/>
      <c r="G182" s="133"/>
      <c r="H182" s="133"/>
    </row>
    <row r="183" spans="1:9" ht="11.25" hidden="1" customHeight="1" x14ac:dyDescent="0.2">
      <c r="A183" s="675"/>
      <c r="B183" s="133"/>
      <c r="C183" s="610"/>
      <c r="D183" s="133"/>
      <c r="E183" s="133"/>
      <c r="F183" s="133"/>
      <c r="G183" s="133"/>
      <c r="H183" s="133"/>
    </row>
    <row r="184" spans="1:9" ht="11.25" hidden="1" customHeight="1" x14ac:dyDescent="0.2">
      <c r="A184" s="675"/>
      <c r="B184" s="133"/>
      <c r="C184" s="610"/>
      <c r="D184" s="133"/>
      <c r="E184" s="133"/>
      <c r="F184" s="133"/>
      <c r="G184" s="133"/>
      <c r="H184" s="133"/>
    </row>
    <row r="185" spans="1:9" ht="11.25" hidden="1" customHeight="1" x14ac:dyDescent="0.2">
      <c r="A185" s="675"/>
      <c r="B185" s="133"/>
      <c r="C185" s="610"/>
      <c r="D185" s="133"/>
      <c r="E185" s="133"/>
      <c r="F185" s="133"/>
      <c r="G185" s="133"/>
      <c r="H185" s="133"/>
    </row>
    <row r="186" spans="1:9" ht="12.75" x14ac:dyDescent="0.2">
      <c r="A186" s="1008" t="s">
        <v>894</v>
      </c>
      <c r="B186" s="963" t="s">
        <v>92</v>
      </c>
      <c r="C186" s="76"/>
      <c r="D186" s="76"/>
      <c r="E186" s="76"/>
      <c r="F186" s="76"/>
      <c r="G186" s="76"/>
      <c r="H186" s="76"/>
    </row>
    <row r="187" spans="1:9" ht="12.75" x14ac:dyDescent="0.2">
      <c r="A187" s="1010"/>
      <c r="B187" s="964"/>
      <c r="C187" s="76"/>
      <c r="D187" s="76"/>
      <c r="E187" s="76"/>
      <c r="F187" s="76"/>
      <c r="G187" s="76"/>
      <c r="H187" s="76"/>
    </row>
    <row r="188" spans="1:9" ht="12.75" x14ac:dyDescent="0.2">
      <c r="A188" s="197" t="s">
        <v>979</v>
      </c>
      <c r="B188" s="835">
        <f>B189+B190</f>
        <v>253025007.86000001</v>
      </c>
      <c r="C188" s="76"/>
      <c r="D188" s="76"/>
      <c r="E188" s="76"/>
      <c r="F188" s="76"/>
      <c r="G188" s="76"/>
      <c r="H188" s="76"/>
    </row>
    <row r="189" spans="1:9" ht="11.25" customHeight="1" x14ac:dyDescent="0.2">
      <c r="A189" s="836" t="s">
        <v>985</v>
      </c>
      <c r="B189" s="835"/>
      <c r="C189" s="623"/>
      <c r="D189" s="623"/>
      <c r="E189" s="623"/>
      <c r="F189" s="623"/>
      <c r="G189" s="623"/>
      <c r="H189" s="623"/>
    </row>
    <row r="190" spans="1:9" ht="25.5" x14ac:dyDescent="0.2">
      <c r="A190" s="837" t="s">
        <v>986</v>
      </c>
      <c r="B190" s="835">
        <v>253025007.86000001</v>
      </c>
      <c r="C190" s="623"/>
      <c r="D190" s="623"/>
      <c r="E190" s="623"/>
      <c r="F190" s="623"/>
      <c r="G190" s="623"/>
      <c r="H190" s="623"/>
    </row>
    <row r="191" spans="1:9" ht="11.25" customHeight="1" x14ac:dyDescent="0.2">
      <c r="A191" s="570" t="s">
        <v>895</v>
      </c>
      <c r="B191" s="838">
        <v>19456200</v>
      </c>
      <c r="C191" s="673"/>
      <c r="D191" s="673"/>
      <c r="E191" s="673"/>
      <c r="F191" s="673"/>
      <c r="G191" s="673"/>
      <c r="H191" s="673"/>
    </row>
    <row r="192" spans="1:9" ht="11.25" hidden="1" customHeight="1" x14ac:dyDescent="0.2">
      <c r="A192" s="633"/>
    </row>
    <row r="193" spans="1:8" ht="11.25" hidden="1" customHeight="1" x14ac:dyDescent="0.2">
      <c r="A193" s="439"/>
    </row>
    <row r="194" spans="1:8" ht="11.25" hidden="1" customHeight="1" x14ac:dyDescent="0.2">
      <c r="A194" s="133"/>
      <c r="B194" s="133"/>
      <c r="C194" s="610"/>
      <c r="D194" s="133"/>
      <c r="E194" s="133"/>
      <c r="F194" s="133"/>
      <c r="G194" s="133"/>
      <c r="H194" s="133"/>
    </row>
    <row r="195" spans="1:8" ht="11.25" hidden="1" customHeight="1" x14ac:dyDescent="0.2">
      <c r="A195" s="133"/>
      <c r="B195" s="133"/>
      <c r="C195" s="610"/>
      <c r="D195" s="133"/>
      <c r="E195" s="133"/>
      <c r="F195" s="133"/>
      <c r="G195" s="133"/>
      <c r="H195" s="133"/>
    </row>
    <row r="196" spans="1:8" ht="11.25" hidden="1" customHeight="1" x14ac:dyDescent="0.2">
      <c r="A196" s="967" t="s">
        <v>896</v>
      </c>
      <c r="B196" s="968"/>
      <c r="C196" s="968"/>
      <c r="D196" s="969"/>
      <c r="E196" s="685"/>
      <c r="F196" s="685"/>
      <c r="G196" s="685"/>
      <c r="H196" s="685"/>
    </row>
    <row r="197" spans="1:8" ht="11.25" hidden="1" customHeight="1" x14ac:dyDescent="0.2">
      <c r="A197" s="970"/>
      <c r="B197" s="971"/>
      <c r="C197" s="971"/>
      <c r="D197" s="972"/>
      <c r="E197" s="685"/>
      <c r="F197" s="685"/>
      <c r="G197" s="685"/>
      <c r="H197" s="685"/>
    </row>
    <row r="198" spans="1:8" ht="11.25" hidden="1" customHeight="1" x14ac:dyDescent="0.2">
      <c r="A198" s="634"/>
      <c r="B198" s="975" t="s">
        <v>207</v>
      </c>
      <c r="C198" s="1005" t="s">
        <v>78</v>
      </c>
      <c r="D198" s="1006"/>
      <c r="E198" s="126"/>
      <c r="F198" s="194"/>
      <c r="G198" s="126"/>
      <c r="H198" s="126"/>
    </row>
    <row r="199" spans="1:8" ht="11.25" hidden="1" customHeight="1" x14ac:dyDescent="0.2">
      <c r="A199" s="635" t="s">
        <v>693</v>
      </c>
      <c r="B199" s="976"/>
      <c r="C199" s="223" t="s">
        <v>158</v>
      </c>
      <c r="D199" s="223" t="s">
        <v>158</v>
      </c>
      <c r="E199" s="195"/>
      <c r="F199" s="194"/>
      <c r="G199" s="195"/>
      <c r="H199" s="195"/>
    </row>
    <row r="200" spans="1:8" ht="11.25" hidden="1" customHeight="1" x14ac:dyDescent="0.2">
      <c r="A200" s="636"/>
      <c r="B200" s="977"/>
      <c r="C200" s="698" t="s">
        <v>159</v>
      </c>
      <c r="D200" s="251" t="s">
        <v>160</v>
      </c>
      <c r="E200" s="126"/>
      <c r="F200" s="194"/>
      <c r="G200" s="195"/>
      <c r="H200" s="195"/>
    </row>
    <row r="201" spans="1:8" ht="11.25" hidden="1" customHeight="1" x14ac:dyDescent="0.2">
      <c r="A201" s="676" t="s">
        <v>897</v>
      </c>
      <c r="B201" s="637"/>
      <c r="C201" s="700"/>
      <c r="D201" s="699"/>
      <c r="E201" s="203"/>
      <c r="F201" s="203"/>
      <c r="G201" s="203"/>
      <c r="H201" s="203"/>
    </row>
    <row r="202" spans="1:8" ht="11.25" hidden="1" customHeight="1" x14ac:dyDescent="0.2">
      <c r="A202" s="613"/>
      <c r="B202" s="610"/>
      <c r="C202" s="610"/>
      <c r="D202" s="610"/>
      <c r="E202" s="610"/>
      <c r="F202" s="610"/>
      <c r="G202" s="610"/>
      <c r="H202" s="611"/>
    </row>
    <row r="203" spans="1:8" ht="11.25" hidden="1" customHeight="1" x14ac:dyDescent="0.2">
      <c r="A203" s="613"/>
      <c r="B203" s="610"/>
      <c r="C203" s="610"/>
      <c r="D203" s="610"/>
      <c r="E203" s="610"/>
      <c r="F203" s="610"/>
      <c r="G203" s="610"/>
      <c r="H203" s="611"/>
    </row>
    <row r="204" spans="1:8" ht="11.25" hidden="1" customHeight="1" x14ac:dyDescent="0.2">
      <c r="A204" s="613"/>
      <c r="B204" s="610"/>
      <c r="C204" s="610"/>
      <c r="D204" s="610"/>
      <c r="E204" s="610"/>
      <c r="F204" s="610"/>
      <c r="G204" s="610"/>
      <c r="H204" s="611"/>
    </row>
    <row r="205" spans="1:8" ht="11.25" hidden="1" customHeight="1" x14ac:dyDescent="0.2">
      <c r="A205" s="613"/>
      <c r="B205" s="610"/>
      <c r="C205" s="610"/>
      <c r="D205" s="610"/>
      <c r="E205" s="610"/>
      <c r="F205" s="610"/>
      <c r="G205" s="610"/>
      <c r="H205" s="611"/>
    </row>
    <row r="206" spans="1:8" ht="11.25" hidden="1" customHeight="1" x14ac:dyDescent="0.2">
      <c r="A206" s="613"/>
      <c r="B206" s="610"/>
      <c r="C206" s="610"/>
      <c r="D206" s="610"/>
      <c r="E206" s="610"/>
      <c r="F206" s="610"/>
      <c r="G206" s="610"/>
      <c r="H206" s="611"/>
    </row>
    <row r="207" spans="1:8" ht="11.25" hidden="1" customHeight="1" x14ac:dyDescent="0.2">
      <c r="A207" s="613"/>
      <c r="B207" s="610"/>
      <c r="C207" s="610"/>
      <c r="D207" s="610"/>
      <c r="E207" s="610"/>
      <c r="F207" s="610"/>
      <c r="G207" s="610"/>
      <c r="H207" s="611"/>
    </row>
    <row r="208" spans="1:8" ht="11.25" hidden="1" customHeight="1" x14ac:dyDescent="0.2">
      <c r="A208" s="634"/>
      <c r="B208" s="638" t="s">
        <v>109</v>
      </c>
      <c r="C208" s="1005" t="s">
        <v>110</v>
      </c>
      <c r="D208" s="1006"/>
      <c r="E208" s="1005" t="s">
        <v>111</v>
      </c>
      <c r="F208" s="1006"/>
      <c r="G208" s="1005" t="s">
        <v>344</v>
      </c>
      <c r="H208" s="1006"/>
    </row>
    <row r="209" spans="1:8" ht="11.25" hidden="1" customHeight="1" x14ac:dyDescent="0.2">
      <c r="A209" s="635" t="s">
        <v>694</v>
      </c>
      <c r="B209" s="639" t="s">
        <v>81</v>
      </c>
      <c r="C209" s="229" t="s">
        <v>158</v>
      </c>
      <c r="D209" s="229" t="s">
        <v>158</v>
      </c>
      <c r="E209" s="229" t="s">
        <v>158</v>
      </c>
      <c r="F209" s="601" t="s">
        <v>158</v>
      </c>
      <c r="G209" s="965" t="s">
        <v>533</v>
      </c>
      <c r="H209" s="965" t="s">
        <v>534</v>
      </c>
    </row>
    <row r="210" spans="1:8" ht="11.25" hidden="1" customHeight="1" x14ac:dyDescent="0.2">
      <c r="A210" s="636"/>
      <c r="B210" s="636"/>
      <c r="C210" s="228" t="s">
        <v>159</v>
      </c>
      <c r="D210" s="193" t="s">
        <v>160</v>
      </c>
      <c r="E210" s="228" t="s">
        <v>159</v>
      </c>
      <c r="F210" s="193" t="s">
        <v>160</v>
      </c>
      <c r="G210" s="966"/>
      <c r="H210" s="966"/>
    </row>
    <row r="211" spans="1:8" ht="11.25" hidden="1" customHeight="1" x14ac:dyDescent="0.2">
      <c r="A211" s="677" t="s">
        <v>696</v>
      </c>
      <c r="B211" s="640"/>
      <c r="C211" s="641"/>
      <c r="D211" s="641"/>
      <c r="E211" s="641"/>
      <c r="F211" s="641"/>
      <c r="G211" s="641"/>
      <c r="H211" s="642"/>
    </row>
    <row r="212" spans="1:8" ht="11.25" hidden="1" customHeight="1" x14ac:dyDescent="0.2">
      <c r="A212" s="677" t="s">
        <v>697</v>
      </c>
      <c r="B212" s="643"/>
      <c r="C212" s="641"/>
      <c r="D212" s="641"/>
      <c r="E212" s="641"/>
      <c r="F212" s="641"/>
      <c r="G212" s="644"/>
      <c r="H212" s="645"/>
    </row>
    <row r="213" spans="1:8" ht="11.25" hidden="1" customHeight="1" x14ac:dyDescent="0.2">
      <c r="A213" s="678"/>
      <c r="B213" s="252"/>
      <c r="C213" s="679"/>
      <c r="D213" s="679"/>
      <c r="F213" s="194"/>
      <c r="H213" s="194"/>
    </row>
    <row r="214" spans="1:8" ht="11.25" hidden="1" customHeight="1" x14ac:dyDescent="0.2">
      <c r="A214" s="680"/>
      <c r="B214" s="253"/>
      <c r="C214" s="195"/>
      <c r="D214" s="195"/>
      <c r="F214" s="194"/>
      <c r="H214" s="194"/>
    </row>
    <row r="215" spans="1:8" ht="11.25" hidden="1" customHeight="1" x14ac:dyDescent="0.2">
      <c r="A215" s="680"/>
      <c r="B215" s="253"/>
      <c r="C215" s="195"/>
      <c r="D215" s="195"/>
      <c r="F215" s="194"/>
      <c r="H215" s="194"/>
    </row>
    <row r="216" spans="1:8" ht="11.25" hidden="1" customHeight="1" x14ac:dyDescent="0.2">
      <c r="A216" s="680"/>
      <c r="B216" s="253"/>
      <c r="C216" s="195"/>
      <c r="D216" s="195"/>
      <c r="F216" s="194"/>
      <c r="H216" s="194"/>
    </row>
    <row r="217" spans="1:8" ht="11.25" hidden="1" customHeight="1" x14ac:dyDescent="0.2">
      <c r="A217" s="680"/>
      <c r="B217" s="253"/>
      <c r="C217" s="195"/>
      <c r="D217" s="195"/>
      <c r="F217" s="194"/>
      <c r="H217" s="194"/>
    </row>
    <row r="218" spans="1:8" ht="11.25" hidden="1" customHeight="1" x14ac:dyDescent="0.2">
      <c r="A218" s="680"/>
      <c r="B218" s="253"/>
      <c r="C218" s="195"/>
      <c r="D218" s="195"/>
      <c r="F218" s="194"/>
      <c r="H218" s="194"/>
    </row>
    <row r="219" spans="1:8" ht="11.25" hidden="1" customHeight="1" x14ac:dyDescent="0.2">
      <c r="A219" s="680"/>
      <c r="B219" s="253"/>
      <c r="C219" s="195"/>
      <c r="D219" s="195"/>
      <c r="F219" s="194"/>
      <c r="H219" s="194"/>
    </row>
    <row r="220" spans="1:8" ht="12.75" hidden="1" x14ac:dyDescent="0.2">
      <c r="A220" s="684" t="s">
        <v>898</v>
      </c>
      <c r="B220" s="640" t="s">
        <v>687</v>
      </c>
      <c r="C220" s="682"/>
      <c r="D220" s="682"/>
      <c r="E220" s="253"/>
      <c r="F220" s="253"/>
      <c r="G220" s="253"/>
      <c r="H220" s="253"/>
    </row>
    <row r="221" spans="1:8" ht="25.5" hidden="1" x14ac:dyDescent="0.2">
      <c r="A221" s="681" t="s">
        <v>698</v>
      </c>
      <c r="B221" s="683"/>
      <c r="C221" s="41"/>
      <c r="D221" s="41"/>
      <c r="E221" s="194"/>
      <c r="F221" s="194"/>
      <c r="G221" s="194"/>
      <c r="H221" s="194"/>
    </row>
    <row r="222" spans="1:8" ht="12.75" hidden="1" x14ac:dyDescent="0.2">
      <c r="A222" s="40"/>
      <c r="B222" s="194"/>
      <c r="C222" s="41"/>
      <c r="D222" s="41"/>
      <c r="E222" s="194"/>
      <c r="F222" s="194"/>
      <c r="G222" s="194"/>
      <c r="H222" s="194"/>
    </row>
    <row r="223" spans="1:8" ht="11.25" hidden="1" customHeight="1" x14ac:dyDescent="0.2">
      <c r="A223" s="23"/>
      <c r="B223" s="23"/>
      <c r="C223" s="23"/>
      <c r="D223" s="23"/>
      <c r="E223" s="23"/>
      <c r="F223" s="23"/>
      <c r="G223" s="23"/>
    </row>
    <row r="224" spans="1:8" ht="11.25" hidden="1" customHeight="1" x14ac:dyDescent="0.2">
      <c r="A224" s="23"/>
      <c r="B224" s="23"/>
      <c r="C224" s="23"/>
      <c r="D224" s="23"/>
      <c r="E224" s="23"/>
      <c r="F224" s="23"/>
      <c r="G224" s="23"/>
    </row>
    <row r="225" spans="1:9" ht="11.25" hidden="1" customHeight="1" x14ac:dyDescent="0.2">
      <c r="A225" s="23"/>
      <c r="B225" s="23"/>
      <c r="C225" s="23"/>
      <c r="D225" s="23"/>
      <c r="E225" s="23"/>
      <c r="F225" s="23"/>
      <c r="G225" s="23"/>
    </row>
    <row r="226" spans="1:9" ht="11.25" hidden="1" customHeight="1" x14ac:dyDescent="0.2">
      <c r="A226" s="967" t="s">
        <v>899</v>
      </c>
      <c r="B226" s="968"/>
      <c r="C226" s="969"/>
      <c r="D226" s="685"/>
      <c r="E226" s="685"/>
      <c r="F226" s="685"/>
      <c r="G226" s="685"/>
      <c r="H226" s="685"/>
    </row>
    <row r="227" spans="1:9" ht="11.25" hidden="1" customHeight="1" x14ac:dyDescent="0.2">
      <c r="A227" s="970"/>
      <c r="B227" s="971"/>
      <c r="C227" s="972"/>
      <c r="D227" s="685"/>
      <c r="E227" s="685"/>
      <c r="F227" s="685"/>
      <c r="G227" s="685"/>
      <c r="H227" s="685"/>
    </row>
    <row r="228" spans="1:9" ht="11.25" hidden="1" customHeight="1" x14ac:dyDescent="0.2">
      <c r="A228" s="646"/>
      <c r="B228" s="973" t="s">
        <v>164</v>
      </c>
      <c r="C228" s="974"/>
      <c r="D228" s="195"/>
      <c r="E228" s="195"/>
      <c r="F228" s="195"/>
      <c r="G228" s="195"/>
      <c r="H228" s="195"/>
    </row>
    <row r="229" spans="1:9" ht="11.25" hidden="1" customHeight="1" x14ac:dyDescent="0.2">
      <c r="A229" s="647" t="s">
        <v>685</v>
      </c>
      <c r="B229" s="297" t="s">
        <v>82</v>
      </c>
      <c r="C229" s="225" t="s">
        <v>84</v>
      </c>
      <c r="D229" s="686"/>
      <c r="E229" s="194"/>
      <c r="F229" s="30"/>
      <c r="G229" s="30"/>
      <c r="H229" s="30"/>
    </row>
    <row r="230" spans="1:9" ht="11.25" hidden="1" customHeight="1" x14ac:dyDescent="0.2">
      <c r="A230" s="648"/>
      <c r="B230" s="649" t="s">
        <v>703</v>
      </c>
      <c r="C230" s="244" t="s">
        <v>704</v>
      </c>
      <c r="D230" s="687"/>
      <c r="E230" s="194"/>
      <c r="F230" s="688"/>
      <c r="G230" s="688"/>
      <c r="H230" s="688"/>
    </row>
    <row r="231" spans="1:9" ht="11.25" hidden="1" customHeight="1" x14ac:dyDescent="0.2">
      <c r="A231" s="650" t="s">
        <v>165</v>
      </c>
      <c r="B231" s="651"/>
      <c r="C231" s="689"/>
      <c r="D231" s="41"/>
      <c r="E231" s="978"/>
      <c r="F231" s="978"/>
      <c r="G231" s="978"/>
      <c r="H231" s="978"/>
    </row>
    <row r="232" spans="1:9" ht="11.25" hidden="1" customHeight="1" x14ac:dyDescent="0.2">
      <c r="A232" s="31"/>
      <c r="B232" s="25"/>
      <c r="C232" s="25"/>
      <c r="D232" s="41"/>
      <c r="E232" s="41"/>
      <c r="F232" s="25"/>
      <c r="G232" s="25"/>
      <c r="H232" s="133"/>
    </row>
    <row r="233" spans="1:9" ht="11.25" hidden="1" customHeight="1" x14ac:dyDescent="0.2">
      <c r="A233" s="31"/>
      <c r="B233" s="25"/>
      <c r="C233" s="25"/>
      <c r="D233" s="41"/>
      <c r="E233" s="41"/>
      <c r="F233" s="25"/>
      <c r="G233" s="25"/>
      <c r="H233" s="133"/>
    </row>
    <row r="234" spans="1:9" ht="11.25" hidden="1" customHeight="1" x14ac:dyDescent="0.2">
      <c r="A234" s="31"/>
      <c r="B234" s="25"/>
      <c r="C234" s="25"/>
      <c r="D234" s="41"/>
      <c r="E234" s="41"/>
      <c r="F234" s="25"/>
      <c r="G234" s="25"/>
      <c r="H234" s="133"/>
    </row>
    <row r="235" spans="1:9" ht="11.25" hidden="1" customHeight="1" x14ac:dyDescent="0.2">
      <c r="A235" s="31"/>
      <c r="B235" s="25"/>
      <c r="C235" s="25"/>
      <c r="D235" s="41"/>
      <c r="E235" s="41"/>
      <c r="F235" s="25"/>
      <c r="G235" s="25"/>
      <c r="H235" s="133"/>
    </row>
    <row r="236" spans="1:9" ht="11.25" hidden="1" customHeight="1" x14ac:dyDescent="0.2">
      <c r="A236" s="31"/>
      <c r="B236" s="25"/>
      <c r="C236" s="25"/>
      <c r="D236" s="41"/>
      <c r="E236" s="41"/>
      <c r="F236" s="25"/>
      <c r="G236" s="25"/>
      <c r="H236" s="133"/>
    </row>
    <row r="237" spans="1:9" ht="11.25" hidden="1" customHeight="1" x14ac:dyDescent="0.2">
      <c r="A237" s="31"/>
      <c r="B237" s="25"/>
      <c r="C237" s="25"/>
      <c r="D237" s="41"/>
      <c r="E237" s="41"/>
      <c r="F237" s="25"/>
      <c r="G237" s="25"/>
      <c r="H237" s="133"/>
    </row>
    <row r="238" spans="1:9" ht="11.25" hidden="1" customHeight="1" x14ac:dyDescent="0.2">
      <c r="A238" s="31"/>
      <c r="B238" s="25"/>
      <c r="C238" s="25"/>
      <c r="D238" s="41"/>
      <c r="E238" s="41"/>
      <c r="F238" s="25"/>
      <c r="G238" s="25"/>
      <c r="H238" s="133"/>
    </row>
    <row r="239" spans="1:9" ht="11.25" hidden="1" customHeight="1" x14ac:dyDescent="0.2">
      <c r="A239" s="690" t="s">
        <v>900</v>
      </c>
      <c r="B239" s="614" t="s">
        <v>687</v>
      </c>
      <c r="C239" s="685"/>
      <c r="D239" s="685"/>
      <c r="E239" s="194"/>
      <c r="F239" s="126"/>
      <c r="G239" s="126"/>
      <c r="H239" s="126"/>
      <c r="I239" s="194"/>
    </row>
    <row r="240" spans="1:9" ht="25.5" hidden="1" x14ac:dyDescent="0.2">
      <c r="A240" s="691" t="s">
        <v>688</v>
      </c>
      <c r="B240" s="689"/>
      <c r="C240" s="51"/>
      <c r="D240" s="51"/>
      <c r="E240" s="194"/>
      <c r="F240" s="41"/>
      <c r="G240" s="41"/>
      <c r="H240" s="41"/>
      <c r="I240" s="194"/>
    </row>
    <row r="241" spans="1:8" ht="11.25" customHeight="1" x14ac:dyDescent="0.2">
      <c r="A241" s="918" t="s">
        <v>1032</v>
      </c>
      <c r="B241" s="925"/>
      <c r="C241" s="925"/>
      <c r="D241" s="925"/>
      <c r="E241" s="925"/>
      <c r="F241" s="925"/>
      <c r="G241" s="925"/>
      <c r="H241" s="925"/>
    </row>
    <row r="247" spans="1:8" s="871" customFormat="1" ht="11.25" customHeight="1" x14ac:dyDescent="0.2">
      <c r="A247" s="870" t="s">
        <v>1024</v>
      </c>
      <c r="B247" s="962" t="s">
        <v>1026</v>
      </c>
      <c r="C247" s="962"/>
      <c r="D247" s="962"/>
      <c r="E247" s="74"/>
      <c r="F247" s="979" t="s">
        <v>1028</v>
      </c>
      <c r="G247" s="979"/>
      <c r="H247" s="74"/>
    </row>
    <row r="248" spans="1:8" s="871" customFormat="1" ht="11.25" customHeight="1" x14ac:dyDescent="0.2">
      <c r="A248" s="870" t="s">
        <v>1025</v>
      </c>
      <c r="B248" s="962" t="s">
        <v>1027</v>
      </c>
      <c r="C248" s="962"/>
      <c r="D248" s="962"/>
      <c r="E248" s="74"/>
      <c r="F248" s="885" t="s">
        <v>1029</v>
      </c>
      <c r="G248" s="885"/>
      <c r="H248" s="74"/>
    </row>
    <row r="249" spans="1:8" s="871" customFormat="1" ht="11.25" customHeight="1" x14ac:dyDescent="0.2">
      <c r="B249" s="962" t="s">
        <v>1040</v>
      </c>
      <c r="C249" s="962"/>
      <c r="D249" s="962"/>
      <c r="F249" s="962" t="s">
        <v>1041</v>
      </c>
      <c r="G249" s="962"/>
    </row>
  </sheetData>
  <mergeCells count="40">
    <mergeCell ref="A11:D11"/>
    <mergeCell ref="A13:D13"/>
    <mergeCell ref="A14:D14"/>
    <mergeCell ref="B18:B20"/>
    <mergeCell ref="A241:H241"/>
    <mergeCell ref="A65:A69"/>
    <mergeCell ref="C18:C19"/>
    <mergeCell ref="A186:A187"/>
    <mergeCell ref="B101:B102"/>
    <mergeCell ref="B129:B130"/>
    <mergeCell ref="A129:A130"/>
    <mergeCell ref="A110:A111"/>
    <mergeCell ref="A101:A102"/>
    <mergeCell ref="E208:F208"/>
    <mergeCell ref="G208:H208"/>
    <mergeCell ref="B161:B163"/>
    <mergeCell ref="B137:C137"/>
    <mergeCell ref="A135:C136"/>
    <mergeCell ref="A196:D197"/>
    <mergeCell ref="C198:D198"/>
    <mergeCell ref="C208:D208"/>
    <mergeCell ref="F66:F69"/>
    <mergeCell ref="G66:H68"/>
    <mergeCell ref="B65:B69"/>
    <mergeCell ref="C65:H65"/>
    <mergeCell ref="C66:C69"/>
    <mergeCell ref="D66:D69"/>
    <mergeCell ref="E66:E69"/>
    <mergeCell ref="B249:D249"/>
    <mergeCell ref="F249:G249"/>
    <mergeCell ref="B186:B187"/>
    <mergeCell ref="G209:G210"/>
    <mergeCell ref="H209:H210"/>
    <mergeCell ref="A226:C227"/>
    <mergeCell ref="B228:C228"/>
    <mergeCell ref="B198:B200"/>
    <mergeCell ref="B248:D248"/>
    <mergeCell ref="E231:H231"/>
    <mergeCell ref="B247:D247"/>
    <mergeCell ref="F247:G247"/>
  </mergeCells>
  <printOptions horizontalCentered="1"/>
  <pageMargins left="0.31496062992125984" right="0.27559055118110237" top="0.59055118110236227" bottom="0.39370078740157483" header="0" footer="0.19685039370078741"/>
  <pageSetup paperSize="9" scale="80" orientation="landscape" r:id="rId1"/>
  <headerFooter alignWithMargins="0"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M50"/>
  <sheetViews>
    <sheetView showGridLines="0" zoomScaleNormal="100" workbookViewId="0"/>
  </sheetViews>
  <sheetFormatPr defaultColWidth="3.28515625" defaultRowHeight="11.25" customHeight="1" x14ac:dyDescent="0.2"/>
  <cols>
    <col min="1" max="1" width="51" style="25" customWidth="1"/>
    <col min="2" max="2" width="10.85546875" style="25" customWidth="1"/>
    <col min="3" max="3" width="12.140625" style="25" customWidth="1"/>
    <col min="4" max="4" width="12" style="25" bestFit="1" customWidth="1"/>
    <col min="5" max="5" width="10.42578125" style="25" customWidth="1"/>
    <col min="6" max="6" width="8.28515625" style="25" customWidth="1"/>
    <col min="7" max="7" width="10.85546875" style="25" customWidth="1"/>
    <col min="8" max="8" width="11.7109375" style="25" customWidth="1"/>
    <col min="9" max="10" width="12" style="25" bestFit="1" customWidth="1"/>
    <col min="11" max="11" width="11.28515625" style="25" customWidth="1"/>
    <col min="12" max="12" width="11.140625" style="25" bestFit="1" customWidth="1"/>
    <col min="13" max="13" width="14.140625" style="31" bestFit="1" customWidth="1"/>
    <col min="14" max="16384" width="3.28515625" style="31"/>
  </cols>
  <sheetData>
    <row r="1" spans="1:13" ht="12.75" x14ac:dyDescent="0.2"/>
    <row r="2" spans="1:13" ht="25.5" customHeight="1" x14ac:dyDescent="0.35">
      <c r="A2" s="841" t="s">
        <v>1019</v>
      </c>
    </row>
    <row r="3" spans="1:13" ht="15.75" customHeight="1" x14ac:dyDescent="0.25">
      <c r="A3" s="82" t="s">
        <v>1020</v>
      </c>
    </row>
    <row r="4" spans="1:13" ht="15.75" customHeight="1" x14ac:dyDescent="0.25">
      <c r="A4" s="82" t="s">
        <v>1021</v>
      </c>
    </row>
    <row r="5" spans="1:13" ht="15.75" customHeight="1" x14ac:dyDescent="0.25">
      <c r="A5" s="82" t="s">
        <v>1022</v>
      </c>
    </row>
    <row r="6" spans="1:13" ht="15.75" x14ac:dyDescent="0.25">
      <c r="A6" s="45" t="s">
        <v>362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</row>
    <row r="7" spans="1:13" ht="12.75" x14ac:dyDescent="0.2"/>
    <row r="8" spans="1:13" s="84" customFormat="1" ht="15.75" x14ac:dyDescent="0.25">
      <c r="A8" s="17" t="s">
        <v>1019</v>
      </c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</row>
    <row r="9" spans="1:13" ht="12.75" x14ac:dyDescent="0.2">
      <c r="A9" s="218" t="s">
        <v>74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</row>
    <row r="10" spans="1:13" ht="12.75" x14ac:dyDescent="0.2">
      <c r="A10" s="217" t="s">
        <v>167</v>
      </c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</row>
    <row r="11" spans="1:13" ht="12.75" x14ac:dyDescent="0.2">
      <c r="A11" s="920" t="s">
        <v>76</v>
      </c>
      <c r="B11" s="920"/>
      <c r="C11" s="920"/>
      <c r="D11" s="920"/>
      <c r="E11" s="920"/>
      <c r="F11" s="920"/>
      <c r="G11" s="920"/>
      <c r="H11" s="920"/>
      <c r="I11" s="920"/>
      <c r="J11" s="920"/>
      <c r="K11" s="920"/>
      <c r="L11" s="920"/>
    </row>
    <row r="12" spans="1:13" ht="12.75" x14ac:dyDescent="0.2">
      <c r="A12" s="4" t="s">
        <v>1023</v>
      </c>
      <c r="B12" s="765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3" ht="12.75" hidden="1" x14ac:dyDescent="0.2">
      <c r="A13" s="920"/>
      <c r="B13" s="920"/>
      <c r="C13" s="920"/>
      <c r="D13" s="920"/>
      <c r="E13" s="920"/>
      <c r="F13" s="920"/>
      <c r="G13" s="920"/>
      <c r="H13" s="920"/>
      <c r="I13" s="920"/>
      <c r="J13" s="920"/>
      <c r="K13" s="920"/>
      <c r="L13" s="920"/>
    </row>
    <row r="14" spans="1:13" ht="12.75" hidden="1" x14ac:dyDescent="0.2">
      <c r="A14" s="920"/>
      <c r="B14" s="920"/>
      <c r="C14" s="920"/>
      <c r="D14" s="920"/>
      <c r="E14" s="920"/>
      <c r="F14" s="920"/>
      <c r="G14" s="920"/>
      <c r="H14" s="920"/>
      <c r="I14" s="920"/>
      <c r="J14" s="920"/>
      <c r="K14" s="920"/>
      <c r="L14" s="920"/>
    </row>
    <row r="15" spans="1:13" ht="12.75" x14ac:dyDescent="0.2">
      <c r="A15" s="29"/>
      <c r="B15" s="29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3" ht="12.75" x14ac:dyDescent="0.2">
      <c r="A16" s="73" t="s">
        <v>363</v>
      </c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4"/>
      <c r="M16" s="34" t="s">
        <v>692</v>
      </c>
    </row>
    <row r="17" spans="1:13" ht="12.75" x14ac:dyDescent="0.2">
      <c r="A17" s="63"/>
      <c r="B17" s="1026" t="s">
        <v>558</v>
      </c>
      <c r="C17" s="1027"/>
      <c r="D17" s="1027"/>
      <c r="E17" s="1027"/>
      <c r="F17" s="1028"/>
      <c r="G17" s="926" t="s">
        <v>334</v>
      </c>
      <c r="H17" s="1029"/>
      <c r="I17" s="1029"/>
      <c r="J17" s="1029"/>
      <c r="K17" s="1029"/>
      <c r="L17" s="1030"/>
      <c r="M17" s="947" t="s">
        <v>552</v>
      </c>
    </row>
    <row r="18" spans="1:13" ht="12.75" x14ac:dyDescent="0.2">
      <c r="A18" s="188"/>
      <c r="B18" s="1022" t="s">
        <v>168</v>
      </c>
      <c r="C18" s="1022"/>
      <c r="D18" s="209"/>
      <c r="E18" s="209"/>
      <c r="F18" s="185"/>
      <c r="G18" s="1023" t="s">
        <v>168</v>
      </c>
      <c r="H18" s="1024"/>
      <c r="I18" s="209"/>
      <c r="J18" s="209"/>
      <c r="K18" s="209"/>
      <c r="L18" s="185"/>
      <c r="M18" s="1020"/>
    </row>
    <row r="19" spans="1:13" ht="12.75" x14ac:dyDescent="0.2">
      <c r="A19" s="65" t="s">
        <v>169</v>
      </c>
      <c r="B19" s="947" t="s">
        <v>715</v>
      </c>
      <c r="C19" s="947" t="s">
        <v>714</v>
      </c>
      <c r="D19" s="212" t="s">
        <v>171</v>
      </c>
      <c r="E19" s="212" t="s">
        <v>170</v>
      </c>
      <c r="F19" s="186" t="s">
        <v>526</v>
      </c>
      <c r="G19" s="947" t="s">
        <v>715</v>
      </c>
      <c r="H19" s="947" t="s">
        <v>714</v>
      </c>
      <c r="I19" s="212" t="s">
        <v>527</v>
      </c>
      <c r="J19" s="212" t="s">
        <v>171</v>
      </c>
      <c r="K19" s="212" t="s">
        <v>170</v>
      </c>
      <c r="L19" s="186" t="s">
        <v>526</v>
      </c>
      <c r="M19" s="1020"/>
    </row>
    <row r="20" spans="1:13" ht="12.75" x14ac:dyDescent="0.2">
      <c r="A20" s="188"/>
      <c r="B20" s="948"/>
      <c r="C20" s="948"/>
      <c r="D20" s="211"/>
      <c r="E20" s="211"/>
      <c r="F20" s="186" t="s">
        <v>85</v>
      </c>
      <c r="G20" s="948" t="s">
        <v>172</v>
      </c>
      <c r="H20" s="948" t="s">
        <v>173</v>
      </c>
      <c r="I20" s="211"/>
      <c r="J20" s="211"/>
      <c r="K20" s="211"/>
      <c r="L20" s="186" t="s">
        <v>86</v>
      </c>
      <c r="M20" s="1020"/>
    </row>
    <row r="21" spans="1:13" s="83" customFormat="1" ht="26.25" customHeight="1" x14ac:dyDescent="0.2">
      <c r="A21" s="68"/>
      <c r="B21" s="949"/>
      <c r="C21" s="949"/>
      <c r="D21" s="179"/>
      <c r="E21" s="179"/>
      <c r="F21" s="187"/>
      <c r="G21" s="949"/>
      <c r="H21" s="949" t="s">
        <v>174</v>
      </c>
      <c r="I21" s="179"/>
      <c r="J21" s="179"/>
      <c r="K21" s="179"/>
      <c r="L21" s="187"/>
      <c r="M21" s="1021"/>
    </row>
    <row r="22" spans="1:13" ht="12.75" x14ac:dyDescent="0.2">
      <c r="A22" s="29" t="s">
        <v>70</v>
      </c>
      <c r="B22" s="314">
        <f t="shared" ref="B22:M22" si="0">B23+B24</f>
        <v>0</v>
      </c>
      <c r="C22" s="314">
        <f t="shared" si="0"/>
        <v>13897671.329999998</v>
      </c>
      <c r="D22" s="314">
        <f t="shared" si="0"/>
        <v>13855660.039999999</v>
      </c>
      <c r="E22" s="314">
        <f t="shared" si="0"/>
        <v>42011.29</v>
      </c>
      <c r="F22" s="314">
        <f t="shared" si="0"/>
        <v>-8.9494278654456139E-10</v>
      </c>
      <c r="G22" s="314">
        <f t="shared" si="0"/>
        <v>2162970.9500000002</v>
      </c>
      <c r="H22" s="314">
        <f t="shared" si="0"/>
        <v>67998541.239999995</v>
      </c>
      <c r="I22" s="314">
        <f t="shared" si="0"/>
        <v>60015191.659999996</v>
      </c>
      <c r="J22" s="314">
        <f t="shared" si="0"/>
        <v>60015191.659999996</v>
      </c>
      <c r="K22" s="316">
        <f t="shared" si="0"/>
        <v>8279066.1299999999</v>
      </c>
      <c r="L22" s="316">
        <f t="shared" si="0"/>
        <v>1867254.3999999957</v>
      </c>
      <c r="M22" s="312">
        <f t="shared" si="0"/>
        <v>1867254.3999999948</v>
      </c>
    </row>
    <row r="23" spans="1:13" ht="12.75" x14ac:dyDescent="0.2">
      <c r="A23" s="29" t="s">
        <v>557</v>
      </c>
      <c r="B23" s="314">
        <v>0</v>
      </c>
      <c r="C23" s="314">
        <v>13888402.789999999</v>
      </c>
      <c r="D23" s="314">
        <v>13846391.5</v>
      </c>
      <c r="E23" s="314">
        <v>42011.29</v>
      </c>
      <c r="F23" s="314">
        <f>B23+C23-D23-E23</f>
        <v>-8.9494278654456139E-10</v>
      </c>
      <c r="G23" s="314">
        <v>2134386.33</v>
      </c>
      <c r="H23" s="314">
        <v>66104237.659999996</v>
      </c>
      <c r="I23" s="314">
        <v>58229064.039999999</v>
      </c>
      <c r="J23" s="314">
        <v>58229064.039999999</v>
      </c>
      <c r="K23" s="316">
        <v>8156052.21</v>
      </c>
      <c r="L23" s="316">
        <f>G23+H23-J23-K23</f>
        <v>1853507.7399999956</v>
      </c>
      <c r="M23" s="314">
        <f>F23+L23</f>
        <v>1853507.7399999946</v>
      </c>
    </row>
    <row r="24" spans="1:13" ht="12.75" x14ac:dyDescent="0.2">
      <c r="A24" s="29" t="s">
        <v>559</v>
      </c>
      <c r="B24" s="314">
        <f t="shared" ref="B24:M24" si="1">SUM(B25:B26)</f>
        <v>0</v>
      </c>
      <c r="C24" s="314">
        <f t="shared" si="1"/>
        <v>9268.5400000000009</v>
      </c>
      <c r="D24" s="314">
        <f t="shared" si="1"/>
        <v>9268.5400000000009</v>
      </c>
      <c r="E24" s="314">
        <f t="shared" si="1"/>
        <v>0</v>
      </c>
      <c r="F24" s="314">
        <f t="shared" si="1"/>
        <v>0</v>
      </c>
      <c r="G24" s="314">
        <f t="shared" si="1"/>
        <v>28584.62</v>
      </c>
      <c r="H24" s="314">
        <f t="shared" si="1"/>
        <v>1894303.58</v>
      </c>
      <c r="I24" s="314">
        <f t="shared" si="1"/>
        <v>1786127.62</v>
      </c>
      <c r="J24" s="314">
        <f t="shared" si="1"/>
        <v>1786127.62</v>
      </c>
      <c r="K24" s="316">
        <f t="shared" si="1"/>
        <v>123013.92</v>
      </c>
      <c r="L24" s="316">
        <f t="shared" si="1"/>
        <v>13746.660000000076</v>
      </c>
      <c r="M24" s="314">
        <f t="shared" si="1"/>
        <v>13746.660000000076</v>
      </c>
    </row>
    <row r="25" spans="1:13" ht="12.75" hidden="1" x14ac:dyDescent="0.2">
      <c r="A25" s="29" t="s">
        <v>716</v>
      </c>
      <c r="B25" s="314">
        <v>0</v>
      </c>
      <c r="C25" s="314">
        <v>9268.5400000000009</v>
      </c>
      <c r="D25" s="375">
        <v>9268.5400000000009</v>
      </c>
      <c r="E25" s="375">
        <v>0</v>
      </c>
      <c r="F25" s="314">
        <f>B25+C25-D25-E25</f>
        <v>0</v>
      </c>
      <c r="G25" s="316">
        <v>28584.62</v>
      </c>
      <c r="H25" s="316">
        <v>1894303.58</v>
      </c>
      <c r="I25" s="316">
        <v>1786127.62</v>
      </c>
      <c r="J25" s="316">
        <v>1786127.62</v>
      </c>
      <c r="K25" s="316">
        <v>123013.92</v>
      </c>
      <c r="L25" s="316">
        <f>G25+H25-J25-K25</f>
        <v>13746.660000000076</v>
      </c>
      <c r="M25" s="314">
        <f>F25+L25</f>
        <v>13746.660000000076</v>
      </c>
    </row>
    <row r="26" spans="1:13" ht="12.75" hidden="1" x14ac:dyDescent="0.2">
      <c r="A26" s="29" t="s">
        <v>717</v>
      </c>
      <c r="B26" s="314"/>
      <c r="C26" s="321"/>
      <c r="D26" s="323"/>
      <c r="E26" s="323"/>
      <c r="F26" s="321">
        <f>B26+C26-D26-E26</f>
        <v>0</v>
      </c>
      <c r="G26" s="320"/>
      <c r="H26" s="320"/>
      <c r="I26" s="320"/>
      <c r="J26" s="320"/>
      <c r="K26" s="320"/>
      <c r="L26" s="320">
        <f>G26+H26-J26-K26</f>
        <v>0</v>
      </c>
      <c r="M26" s="314">
        <f>F26+L26</f>
        <v>0</v>
      </c>
    </row>
    <row r="27" spans="1:13" ht="12.75" x14ac:dyDescent="0.2">
      <c r="A27" s="29" t="s">
        <v>71</v>
      </c>
      <c r="B27" s="314">
        <f t="shared" ref="B27:M27" si="2">B39</f>
        <v>0</v>
      </c>
      <c r="C27" s="314">
        <f t="shared" si="2"/>
        <v>11329894.550000001</v>
      </c>
      <c r="D27" s="314">
        <f t="shared" si="2"/>
        <v>11239639.48</v>
      </c>
      <c r="E27" s="314">
        <f t="shared" si="2"/>
        <v>90255.07</v>
      </c>
      <c r="F27" s="314">
        <f t="shared" si="2"/>
        <v>2.9103830456733704E-10</v>
      </c>
      <c r="G27" s="314">
        <f t="shared" si="2"/>
        <v>0</v>
      </c>
      <c r="H27" s="314">
        <f t="shared" si="2"/>
        <v>570083.47</v>
      </c>
      <c r="I27" s="314">
        <f t="shared" si="2"/>
        <v>338242.61000000004</v>
      </c>
      <c r="J27" s="314">
        <f t="shared" si="2"/>
        <v>338242.61000000004</v>
      </c>
      <c r="K27" s="316">
        <f t="shared" si="2"/>
        <v>231840.86</v>
      </c>
      <c r="L27" s="316">
        <f t="shared" si="2"/>
        <v>0</v>
      </c>
      <c r="M27" s="314">
        <f t="shared" si="2"/>
        <v>2.9103830456733704E-10</v>
      </c>
    </row>
    <row r="28" spans="1:13" ht="12.75" x14ac:dyDescent="0.2">
      <c r="A28" s="62" t="s">
        <v>177</v>
      </c>
      <c r="B28" s="564">
        <f t="shared" ref="B28:M28" si="3">B22+B27</f>
        <v>0</v>
      </c>
      <c r="C28" s="565">
        <f t="shared" si="3"/>
        <v>25227565.879999999</v>
      </c>
      <c r="D28" s="565">
        <f t="shared" si="3"/>
        <v>25095299.52</v>
      </c>
      <c r="E28" s="565">
        <f t="shared" si="3"/>
        <v>132266.36000000002</v>
      </c>
      <c r="F28" s="564">
        <f t="shared" si="3"/>
        <v>-6.0390448197722435E-10</v>
      </c>
      <c r="G28" s="565">
        <f t="shared" si="3"/>
        <v>2162970.9500000002</v>
      </c>
      <c r="H28" s="565">
        <f t="shared" si="3"/>
        <v>68568624.709999993</v>
      </c>
      <c r="I28" s="565">
        <f t="shared" si="3"/>
        <v>60353434.269999996</v>
      </c>
      <c r="J28" s="565">
        <f t="shared" si="3"/>
        <v>60353434.269999996</v>
      </c>
      <c r="K28" s="565">
        <f t="shared" si="3"/>
        <v>8510906.9900000002</v>
      </c>
      <c r="L28" s="565">
        <f t="shared" si="3"/>
        <v>1867254.3999999957</v>
      </c>
      <c r="M28" s="564">
        <f t="shared" si="3"/>
        <v>1867254.399999995</v>
      </c>
    </row>
    <row r="29" spans="1:13" ht="12.75" x14ac:dyDescent="0.2">
      <c r="A29" s="1019"/>
      <c r="B29" s="1019"/>
      <c r="C29" s="1019"/>
      <c r="D29" s="1019"/>
      <c r="E29" s="1019"/>
      <c r="F29" s="1019"/>
      <c r="G29" s="1019"/>
      <c r="H29" s="1019"/>
      <c r="I29" s="1019"/>
      <c r="J29" s="1019"/>
      <c r="K29" s="1019"/>
      <c r="L29" s="1019"/>
      <c r="M29" s="1019"/>
    </row>
    <row r="30" spans="1:13" ht="10.5" customHeight="1" x14ac:dyDescent="0.2">
      <c r="A30" s="41"/>
    </row>
    <row r="31" spans="1:13" ht="11.25" hidden="1" customHeight="1" x14ac:dyDescent="0.2"/>
    <row r="32" spans="1:13" ht="11.25" hidden="1" customHeight="1" x14ac:dyDescent="0.2"/>
    <row r="33" spans="1:13" ht="11.25" hidden="1" customHeight="1" x14ac:dyDescent="0.2"/>
    <row r="34" spans="1:13" ht="12.75" x14ac:dyDescent="0.2">
      <c r="A34" s="63"/>
      <c r="B34" s="1026" t="s">
        <v>558</v>
      </c>
      <c r="C34" s="1027"/>
      <c r="D34" s="1027"/>
      <c r="E34" s="1027"/>
      <c r="F34" s="1028"/>
      <c r="G34" s="926" t="s">
        <v>334</v>
      </c>
      <c r="H34" s="1029"/>
      <c r="I34" s="1029"/>
      <c r="J34" s="1029"/>
      <c r="K34" s="1029"/>
      <c r="L34" s="1030"/>
      <c r="M34" s="947" t="s">
        <v>552</v>
      </c>
    </row>
    <row r="35" spans="1:13" ht="12.75" x14ac:dyDescent="0.2">
      <c r="A35" s="188"/>
      <c r="B35" s="1022" t="s">
        <v>168</v>
      </c>
      <c r="C35" s="1022"/>
      <c r="D35" s="209"/>
      <c r="E35" s="209"/>
      <c r="F35" s="185"/>
      <c r="G35" s="1023" t="s">
        <v>168</v>
      </c>
      <c r="H35" s="1024"/>
      <c r="I35" s="209"/>
      <c r="J35" s="209"/>
      <c r="K35" s="209"/>
      <c r="L35" s="185"/>
      <c r="M35" s="1020"/>
    </row>
    <row r="36" spans="1:13" ht="12.75" x14ac:dyDescent="0.2">
      <c r="A36" s="65" t="s">
        <v>744</v>
      </c>
      <c r="B36" s="947" t="s">
        <v>715</v>
      </c>
      <c r="C36" s="947" t="s">
        <v>714</v>
      </c>
      <c r="D36" s="212" t="s">
        <v>171</v>
      </c>
      <c r="E36" s="212" t="s">
        <v>170</v>
      </c>
      <c r="F36" s="186" t="s">
        <v>526</v>
      </c>
      <c r="G36" s="947" t="s">
        <v>715</v>
      </c>
      <c r="H36" s="947" t="s">
        <v>714</v>
      </c>
      <c r="I36" s="212" t="s">
        <v>527</v>
      </c>
      <c r="J36" s="212" t="s">
        <v>171</v>
      </c>
      <c r="K36" s="212" t="s">
        <v>170</v>
      </c>
      <c r="L36" s="186" t="s">
        <v>526</v>
      </c>
      <c r="M36" s="1020"/>
    </row>
    <row r="37" spans="1:13" ht="12.75" x14ac:dyDescent="0.2">
      <c r="A37" s="188"/>
      <c r="B37" s="948"/>
      <c r="C37" s="948"/>
      <c r="D37" s="211"/>
      <c r="E37" s="211"/>
      <c r="F37" s="186" t="s">
        <v>85</v>
      </c>
      <c r="G37" s="948" t="s">
        <v>172</v>
      </c>
      <c r="H37" s="948" t="s">
        <v>173</v>
      </c>
      <c r="I37" s="211"/>
      <c r="J37" s="211"/>
      <c r="K37" s="211"/>
      <c r="L37" s="186" t="s">
        <v>86</v>
      </c>
      <c r="M37" s="1020"/>
    </row>
    <row r="38" spans="1:13" ht="12.75" x14ac:dyDescent="0.2">
      <c r="A38" s="68"/>
      <c r="B38" s="949"/>
      <c r="C38" s="949"/>
      <c r="D38" s="179"/>
      <c r="E38" s="179"/>
      <c r="F38" s="187"/>
      <c r="G38" s="949"/>
      <c r="H38" s="949" t="s">
        <v>174</v>
      </c>
      <c r="I38" s="179"/>
      <c r="J38" s="179"/>
      <c r="K38" s="179"/>
      <c r="L38" s="187"/>
      <c r="M38" s="1021"/>
    </row>
    <row r="39" spans="1:13" ht="11.25" customHeight="1" x14ac:dyDescent="0.2">
      <c r="A39" s="29" t="s">
        <v>71</v>
      </c>
      <c r="B39" s="314">
        <f t="shared" ref="B39:M39" si="4">B40+B41</f>
        <v>0</v>
      </c>
      <c r="C39" s="314">
        <f t="shared" si="4"/>
        <v>11329894.550000001</v>
      </c>
      <c r="D39" s="314">
        <f t="shared" si="4"/>
        <v>11239639.48</v>
      </c>
      <c r="E39" s="314">
        <f t="shared" si="4"/>
        <v>90255.07</v>
      </c>
      <c r="F39" s="314">
        <f t="shared" si="4"/>
        <v>2.9103830456733704E-10</v>
      </c>
      <c r="G39" s="314">
        <f t="shared" si="4"/>
        <v>0</v>
      </c>
      <c r="H39" s="314">
        <f t="shared" si="4"/>
        <v>570083.47</v>
      </c>
      <c r="I39" s="314">
        <f t="shared" si="4"/>
        <v>338242.61000000004</v>
      </c>
      <c r="J39" s="314">
        <f t="shared" si="4"/>
        <v>338242.61000000004</v>
      </c>
      <c r="K39" s="316">
        <f t="shared" si="4"/>
        <v>231840.86</v>
      </c>
      <c r="L39" s="316">
        <f t="shared" si="4"/>
        <v>0</v>
      </c>
      <c r="M39" s="312">
        <f t="shared" si="4"/>
        <v>2.9103830456733704E-10</v>
      </c>
    </row>
    <row r="40" spans="1:13" ht="11.25" customHeight="1" x14ac:dyDescent="0.2">
      <c r="A40" s="29" t="s">
        <v>557</v>
      </c>
      <c r="B40" s="314">
        <v>0</v>
      </c>
      <c r="C40" s="314">
        <v>11329894.550000001</v>
      </c>
      <c r="D40" s="314">
        <v>11239639.48</v>
      </c>
      <c r="E40" s="314">
        <v>90255.07</v>
      </c>
      <c r="F40" s="314">
        <f>B40+C40-D40-E40</f>
        <v>2.9103830456733704E-10</v>
      </c>
      <c r="G40" s="314">
        <v>0</v>
      </c>
      <c r="H40" s="314">
        <v>555270.56999999995</v>
      </c>
      <c r="I40" s="314">
        <v>323429.71000000002</v>
      </c>
      <c r="J40" s="314">
        <v>323429.71000000002</v>
      </c>
      <c r="K40" s="316">
        <v>231840.86</v>
      </c>
      <c r="L40" s="316">
        <f>G40+H40-J40-K40</f>
        <v>0</v>
      </c>
      <c r="M40" s="314">
        <f>F40+L40</f>
        <v>2.9103830456733704E-10</v>
      </c>
    </row>
    <row r="41" spans="1:13" ht="11.25" customHeight="1" x14ac:dyDescent="0.2">
      <c r="A41" s="29" t="s">
        <v>559</v>
      </c>
      <c r="B41" s="314">
        <f t="shared" ref="B41:M41" si="5">SUM(B42:B43)</f>
        <v>0</v>
      </c>
      <c r="C41" s="314">
        <f t="shared" si="5"/>
        <v>0</v>
      </c>
      <c r="D41" s="314">
        <f t="shared" si="5"/>
        <v>0</v>
      </c>
      <c r="E41" s="314">
        <f t="shared" si="5"/>
        <v>0</v>
      </c>
      <c r="F41" s="314">
        <f t="shared" si="5"/>
        <v>0</v>
      </c>
      <c r="G41" s="314">
        <f t="shared" si="5"/>
        <v>0</v>
      </c>
      <c r="H41" s="314">
        <f t="shared" si="5"/>
        <v>14812.9</v>
      </c>
      <c r="I41" s="314">
        <f t="shared" si="5"/>
        <v>14812.9</v>
      </c>
      <c r="J41" s="314">
        <f t="shared" si="5"/>
        <v>14812.9</v>
      </c>
      <c r="K41" s="316">
        <f t="shared" si="5"/>
        <v>0</v>
      </c>
      <c r="L41" s="316">
        <f t="shared" si="5"/>
        <v>0</v>
      </c>
      <c r="M41" s="314">
        <f t="shared" si="5"/>
        <v>0</v>
      </c>
    </row>
    <row r="42" spans="1:13" ht="11.25" hidden="1" customHeight="1" x14ac:dyDescent="0.2">
      <c r="A42" s="29" t="s">
        <v>716</v>
      </c>
      <c r="B42" s="314">
        <v>0</v>
      </c>
      <c r="C42" s="314">
        <v>0</v>
      </c>
      <c r="D42" s="375">
        <v>0</v>
      </c>
      <c r="E42" s="375">
        <v>0</v>
      </c>
      <c r="F42" s="314">
        <f>B42+C42-D42-E42</f>
        <v>0</v>
      </c>
      <c r="G42" s="316">
        <v>0</v>
      </c>
      <c r="H42" s="316">
        <v>14812.9</v>
      </c>
      <c r="I42" s="316">
        <v>14812.9</v>
      </c>
      <c r="J42" s="316">
        <v>14812.9</v>
      </c>
      <c r="K42" s="316">
        <v>0</v>
      </c>
      <c r="L42" s="316">
        <f>G42+H42-J42-K42</f>
        <v>0</v>
      </c>
      <c r="M42" s="314">
        <f>F42+L42</f>
        <v>0</v>
      </c>
    </row>
    <row r="43" spans="1:13" ht="11.25" hidden="1" customHeight="1" x14ac:dyDescent="0.2">
      <c r="A43" s="29" t="s">
        <v>717</v>
      </c>
      <c r="B43" s="314"/>
      <c r="C43" s="321"/>
      <c r="D43" s="323"/>
      <c r="E43" s="323"/>
      <c r="F43" s="314">
        <f>B43+C43-D43-E43</f>
        <v>0</v>
      </c>
      <c r="G43" s="320"/>
      <c r="H43" s="320"/>
      <c r="I43" s="320"/>
      <c r="J43" s="320"/>
      <c r="K43" s="320"/>
      <c r="L43" s="316">
        <f>G43+H43-J43-K43</f>
        <v>0</v>
      </c>
      <c r="M43" s="314">
        <f>F43+L43</f>
        <v>0</v>
      </c>
    </row>
    <row r="44" spans="1:13" ht="11.25" customHeight="1" x14ac:dyDescent="0.2">
      <c r="A44" s="1025" t="s">
        <v>1033</v>
      </c>
      <c r="B44" s="1019"/>
      <c r="C44" s="1019"/>
      <c r="D44" s="1019"/>
      <c r="E44" s="1019"/>
      <c r="F44" s="1019"/>
      <c r="G44" s="1019"/>
      <c r="H44" s="1019"/>
      <c r="I44" s="1019"/>
      <c r="J44" s="1019"/>
      <c r="K44" s="1019"/>
      <c r="L44" s="1019"/>
      <c r="M44" s="1019"/>
    </row>
    <row r="48" spans="1:13" ht="11.25" customHeight="1" x14ac:dyDescent="0.2">
      <c r="A48" s="872" t="s">
        <v>1024</v>
      </c>
      <c r="B48" s="881"/>
      <c r="C48" s="868"/>
      <c r="D48" s="881"/>
      <c r="E48" s="903" t="s">
        <v>1026</v>
      </c>
      <c r="F48" s="903"/>
      <c r="G48" s="903"/>
      <c r="H48" s="903"/>
      <c r="I48" s="868"/>
      <c r="J48" s="881" t="s">
        <v>1028</v>
      </c>
      <c r="K48" s="868"/>
      <c r="L48" s="881"/>
      <c r="M48" s="881"/>
    </row>
    <row r="49" spans="1:13" ht="11.25" customHeight="1" x14ac:dyDescent="0.2">
      <c r="A49" s="872" t="s">
        <v>1025</v>
      </c>
      <c r="B49" s="881"/>
      <c r="C49" s="868"/>
      <c r="D49" s="881"/>
      <c r="E49" s="903" t="s">
        <v>1027</v>
      </c>
      <c r="F49" s="903"/>
      <c r="G49" s="903"/>
      <c r="H49" s="903"/>
      <c r="I49" s="868"/>
      <c r="J49" s="872" t="s">
        <v>1029</v>
      </c>
      <c r="K49" s="26"/>
      <c r="L49" s="881"/>
      <c r="M49" s="881"/>
    </row>
    <row r="50" spans="1:13" ht="11.25" customHeight="1" x14ac:dyDescent="0.2">
      <c r="A50" s="868"/>
      <c r="B50" s="868"/>
      <c r="C50" s="868"/>
      <c r="D50" s="868"/>
      <c r="E50" s="904" t="s">
        <v>1040</v>
      </c>
      <c r="F50" s="904"/>
      <c r="G50" s="904"/>
      <c r="H50" s="904"/>
      <c r="I50" s="868"/>
      <c r="J50" s="868" t="s">
        <v>1041</v>
      </c>
      <c r="K50" s="868"/>
      <c r="L50" s="868"/>
      <c r="M50" s="868"/>
    </row>
  </sheetData>
  <mergeCells count="26">
    <mergeCell ref="B35:C35"/>
    <mergeCell ref="G35:H35"/>
    <mergeCell ref="B36:B38"/>
    <mergeCell ref="B34:F34"/>
    <mergeCell ref="G34:L34"/>
    <mergeCell ref="A11:L11"/>
    <mergeCell ref="A13:L13"/>
    <mergeCell ref="A14:L14"/>
    <mergeCell ref="B17:F17"/>
    <mergeCell ref="G17:L17"/>
    <mergeCell ref="E48:H48"/>
    <mergeCell ref="E49:H49"/>
    <mergeCell ref="E50:H50"/>
    <mergeCell ref="A29:M29"/>
    <mergeCell ref="B19:B21"/>
    <mergeCell ref="C19:C21"/>
    <mergeCell ref="G19:G21"/>
    <mergeCell ref="H19:H21"/>
    <mergeCell ref="M17:M21"/>
    <mergeCell ref="B18:C18"/>
    <mergeCell ref="G18:H18"/>
    <mergeCell ref="C36:C38"/>
    <mergeCell ref="G36:G38"/>
    <mergeCell ref="H36:H38"/>
    <mergeCell ref="A44:M44"/>
    <mergeCell ref="M34:M38"/>
  </mergeCells>
  <printOptions horizontalCentered="1"/>
  <pageMargins left="0.19685039370078741" right="0.27559055118110237" top="0.59055118110236227" bottom="0.39370078740157483" header="0" footer="0.19685039370078741"/>
  <pageSetup paperSize="9" scale="77" orientation="landscape" verticalDpi="300" r:id="rId1"/>
  <headerFooter alignWithMargins="0">
    <oddFooter>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L202"/>
  <sheetViews>
    <sheetView showGridLines="0" zoomScaleNormal="100" workbookViewId="0"/>
  </sheetViews>
  <sheetFormatPr defaultRowHeight="11.25" customHeight="1" x14ac:dyDescent="0.2"/>
  <cols>
    <col min="1" max="1" width="92.85546875" style="123" customWidth="1"/>
    <col min="2" max="7" width="13.7109375" style="123" customWidth="1"/>
    <col min="8" max="8" width="18.85546875" style="123" customWidth="1"/>
    <col min="9" max="9" width="21.140625" style="123" customWidth="1"/>
    <col min="10" max="10" width="14" style="123" customWidth="1"/>
    <col min="11" max="11" width="14.140625" style="123" customWidth="1"/>
    <col min="12" max="16384" width="9.140625" style="123"/>
  </cols>
  <sheetData>
    <row r="1" spans="1:6" ht="12.75" x14ac:dyDescent="0.2"/>
    <row r="2" spans="1:6" ht="25.5" customHeight="1" x14ac:dyDescent="0.4">
      <c r="A2" s="852" t="s">
        <v>1019</v>
      </c>
    </row>
    <row r="3" spans="1:6" ht="15.75" customHeight="1" x14ac:dyDescent="0.2">
      <c r="A3" s="853" t="s">
        <v>1020</v>
      </c>
    </row>
    <row r="4" spans="1:6" ht="15.75" customHeight="1" x14ac:dyDescent="0.2">
      <c r="A4" s="853" t="s">
        <v>1021</v>
      </c>
    </row>
    <row r="5" spans="1:6" ht="15.75" customHeight="1" x14ac:dyDescent="0.2">
      <c r="A5" s="853" t="s">
        <v>1022</v>
      </c>
    </row>
    <row r="6" spans="1:6" ht="15.75" x14ac:dyDescent="0.25">
      <c r="A6" s="448" t="s">
        <v>632</v>
      </c>
      <c r="B6" s="448"/>
      <c r="C6" s="448"/>
      <c r="D6" s="448"/>
      <c r="E6" s="448"/>
      <c r="F6" s="448"/>
    </row>
    <row r="7" spans="1:6" ht="12.75" x14ac:dyDescent="0.2">
      <c r="A7" s="120"/>
      <c r="B7" s="120"/>
      <c r="C7" s="120"/>
      <c r="D7" s="120"/>
      <c r="E7" s="120"/>
      <c r="F7" s="120"/>
    </row>
    <row r="8" spans="1:6" s="119" customFormat="1" ht="15.75" x14ac:dyDescent="0.25">
      <c r="A8" s="854" t="s">
        <v>1019</v>
      </c>
      <c r="B8" s="449"/>
      <c r="C8" s="449"/>
      <c r="D8" s="449"/>
      <c r="E8" s="449"/>
      <c r="F8" s="449"/>
    </row>
    <row r="9" spans="1:6" s="89" customFormat="1" ht="12.75" x14ac:dyDescent="0.2">
      <c r="A9" s="205" t="s">
        <v>74</v>
      </c>
      <c r="B9" s="205"/>
      <c r="C9" s="205"/>
      <c r="D9" s="205"/>
      <c r="E9" s="205"/>
      <c r="F9" s="205"/>
    </row>
    <row r="10" spans="1:6" s="89" customFormat="1" ht="12.75" x14ac:dyDescent="0.2">
      <c r="A10" s="327" t="s">
        <v>198</v>
      </c>
      <c r="B10" s="327"/>
      <c r="C10" s="327"/>
      <c r="D10" s="327"/>
      <c r="E10" s="327"/>
      <c r="F10" s="327"/>
    </row>
    <row r="11" spans="1:6" s="89" customFormat="1" ht="12.75" x14ac:dyDescent="0.2">
      <c r="A11" s="1033" t="s">
        <v>76</v>
      </c>
      <c r="B11" s="1033"/>
      <c r="C11" s="1033"/>
      <c r="D11" s="1033"/>
      <c r="E11" s="1033"/>
      <c r="F11" s="1033"/>
    </row>
    <row r="12" spans="1:6" s="89" customFormat="1" ht="12.75" x14ac:dyDescent="0.2">
      <c r="A12" s="99" t="s">
        <v>1023</v>
      </c>
      <c r="B12" s="766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</row>
    <row r="13" spans="1:6" s="89" customFormat="1" ht="12.75" hidden="1" x14ac:dyDescent="0.2">
      <c r="A13" s="1033"/>
      <c r="B13" s="1033"/>
      <c r="C13" s="1033"/>
      <c r="D13" s="1033"/>
      <c r="E13" s="1033"/>
      <c r="F13" s="1033"/>
    </row>
    <row r="14" spans="1:6" s="89" customFormat="1" ht="12.75" hidden="1" x14ac:dyDescent="0.2">
      <c r="A14" s="1033"/>
      <c r="B14" s="1033"/>
      <c r="C14" s="1033"/>
      <c r="D14" s="1033"/>
      <c r="E14" s="1033"/>
      <c r="F14" s="1033"/>
    </row>
    <row r="15" spans="1:6" s="89" customFormat="1" ht="12.75" x14ac:dyDescent="0.2">
      <c r="A15" s="205"/>
      <c r="B15" s="205"/>
      <c r="C15" s="205"/>
      <c r="D15" s="205"/>
      <c r="E15" s="205"/>
      <c r="F15" s="205"/>
    </row>
    <row r="16" spans="1:6" s="89" customFormat="1" ht="12.75" x14ac:dyDescent="0.2">
      <c r="A16" s="89" t="s">
        <v>631</v>
      </c>
      <c r="B16" s="121"/>
      <c r="C16" s="121"/>
      <c r="D16" s="121"/>
      <c r="E16" s="91">
        <v>1</v>
      </c>
      <c r="F16" s="91"/>
    </row>
    <row r="17" spans="1:8" s="89" customFormat="1" ht="12.75" x14ac:dyDescent="0.2">
      <c r="A17" s="1037" t="s">
        <v>139</v>
      </c>
      <c r="B17" s="1038"/>
      <c r="C17" s="1038"/>
      <c r="D17" s="1038"/>
      <c r="E17" s="1039"/>
    </row>
    <row r="18" spans="1:8" s="89" customFormat="1" ht="12.75" x14ac:dyDescent="0.2">
      <c r="A18" s="303"/>
      <c r="B18" s="291" t="s">
        <v>77</v>
      </c>
      <c r="C18" s="291" t="s">
        <v>77</v>
      </c>
      <c r="D18" s="992" t="s">
        <v>78</v>
      </c>
      <c r="E18" s="1047"/>
    </row>
    <row r="19" spans="1:8" s="89" customFormat="1" ht="12.75" x14ac:dyDescent="0.2">
      <c r="A19" s="93" t="s">
        <v>338</v>
      </c>
      <c r="B19" s="290" t="s">
        <v>80</v>
      </c>
      <c r="C19" s="290" t="s">
        <v>81</v>
      </c>
      <c r="D19" s="92" t="str">
        <f>CONCATENATE("Até o  ", B12)</f>
        <v>Até o  Bimestre</v>
      </c>
      <c r="E19" s="92" t="s">
        <v>83</v>
      </c>
    </row>
    <row r="20" spans="1:8" s="89" customFormat="1" ht="12.75" x14ac:dyDescent="0.2">
      <c r="A20" s="95"/>
      <c r="B20" s="289"/>
      <c r="C20" s="289" t="s">
        <v>85</v>
      </c>
      <c r="D20" s="94" t="s">
        <v>86</v>
      </c>
      <c r="E20" s="94" t="s">
        <v>140</v>
      </c>
    </row>
    <row r="21" spans="1:8" s="89" customFormat="1" ht="12.75" x14ac:dyDescent="0.2">
      <c r="A21" s="457" t="s">
        <v>141</v>
      </c>
      <c r="B21" s="777">
        <f>B22+B25+B28+B31+B32</f>
        <v>251018500</v>
      </c>
      <c r="C21" s="777">
        <f>C22+C25+C28+C31+C32</f>
        <v>252066009.31999999</v>
      </c>
      <c r="D21" s="778">
        <f>D22+D25+D28+D31+D32</f>
        <v>299031952.75</v>
      </c>
      <c r="E21" s="779">
        <f t="shared" ref="E21:E46" si="0">IF(C21&gt;0,D21/C21,0)*100</f>
        <v>118.63239853588365</v>
      </c>
      <c r="F21" s="458"/>
      <c r="G21" s="458"/>
      <c r="H21" s="458"/>
    </row>
    <row r="22" spans="1:8" s="89" customFormat="1" ht="12.75" x14ac:dyDescent="0.2">
      <c r="A22" s="459" t="s">
        <v>630</v>
      </c>
      <c r="B22" s="777">
        <f>SUM(B23:B24)</f>
        <v>111775000</v>
      </c>
      <c r="C22" s="777">
        <f>SUM(C23:C24)</f>
        <v>111775000</v>
      </c>
      <c r="D22" s="778">
        <f>SUM(D23:D24)</f>
        <v>122675133.69</v>
      </c>
      <c r="E22" s="778">
        <f t="shared" si="0"/>
        <v>109.75185299932902</v>
      </c>
      <c r="F22" s="458"/>
      <c r="G22" s="458"/>
      <c r="H22" s="458"/>
    </row>
    <row r="23" spans="1:8" s="89" customFormat="1" ht="12.75" x14ac:dyDescent="0.2">
      <c r="A23" s="459" t="s">
        <v>629</v>
      </c>
      <c r="B23" s="777">
        <v>100000000</v>
      </c>
      <c r="C23" s="777">
        <v>100000000</v>
      </c>
      <c r="D23" s="778">
        <v>104640967.2</v>
      </c>
      <c r="E23" s="778">
        <f t="shared" si="0"/>
        <v>104.64096720000001</v>
      </c>
      <c r="F23" s="458"/>
      <c r="G23" s="458"/>
      <c r="H23" s="458"/>
    </row>
    <row r="24" spans="1:8" s="89" customFormat="1" ht="12.75" x14ac:dyDescent="0.2">
      <c r="A24" s="459" t="s">
        <v>930</v>
      </c>
      <c r="B24" s="777">
        <v>11775000</v>
      </c>
      <c r="C24" s="777">
        <v>11775000</v>
      </c>
      <c r="D24" s="778">
        <v>18034166.489999998</v>
      </c>
      <c r="E24" s="778">
        <f t="shared" si="0"/>
        <v>153.1564033121019</v>
      </c>
      <c r="F24" s="458"/>
      <c r="G24" s="458"/>
      <c r="H24" s="458"/>
    </row>
    <row r="25" spans="1:8" s="89" customFormat="1" ht="12.75" x14ac:dyDescent="0.2">
      <c r="A25" s="459" t="s">
        <v>628</v>
      </c>
      <c r="B25" s="777">
        <f>SUM(B26:B27)</f>
        <v>24225500</v>
      </c>
      <c r="C25" s="777">
        <f>SUM(C26:C27)</f>
        <v>24225500</v>
      </c>
      <c r="D25" s="778">
        <f>SUM(D26:D27)</f>
        <v>35021176.059999995</v>
      </c>
      <c r="E25" s="778">
        <f t="shared" si="0"/>
        <v>144.56327448349876</v>
      </c>
      <c r="F25" s="458"/>
      <c r="G25" s="458"/>
      <c r="H25" s="458"/>
    </row>
    <row r="26" spans="1:8" s="89" customFormat="1" ht="12.75" x14ac:dyDescent="0.2">
      <c r="A26" s="459" t="s">
        <v>627</v>
      </c>
      <c r="B26" s="777">
        <v>24000000</v>
      </c>
      <c r="C26" s="777">
        <v>24000000</v>
      </c>
      <c r="D26" s="778">
        <v>34603337.229999997</v>
      </c>
      <c r="E26" s="778">
        <f t="shared" si="0"/>
        <v>144.18057179166667</v>
      </c>
      <c r="F26" s="458"/>
      <c r="G26" s="458"/>
      <c r="H26" s="458"/>
    </row>
    <row r="27" spans="1:8" s="89" customFormat="1" ht="12.75" x14ac:dyDescent="0.2">
      <c r="A27" s="459" t="s">
        <v>931</v>
      </c>
      <c r="B27" s="777">
        <v>225500</v>
      </c>
      <c r="C27" s="777">
        <v>225500</v>
      </c>
      <c r="D27" s="778">
        <v>417838.83</v>
      </c>
      <c r="E27" s="778">
        <f t="shared" si="0"/>
        <v>185.29438137472286</v>
      </c>
      <c r="F27" s="458"/>
      <c r="G27" s="458"/>
      <c r="H27" s="458"/>
    </row>
    <row r="28" spans="1:8" s="89" customFormat="1" ht="12.75" x14ac:dyDescent="0.2">
      <c r="A28" s="459" t="s">
        <v>626</v>
      </c>
      <c r="B28" s="777">
        <f>SUM(B29:B30)</f>
        <v>86668000</v>
      </c>
      <c r="C28" s="777">
        <f>SUM(C29:C30)</f>
        <v>86668000</v>
      </c>
      <c r="D28" s="778">
        <f>SUM(D29:D30)</f>
        <v>101571459.15000001</v>
      </c>
      <c r="E28" s="778">
        <f t="shared" si="0"/>
        <v>117.19603446485441</v>
      </c>
      <c r="F28" s="458"/>
      <c r="G28" s="458"/>
      <c r="H28" s="458"/>
    </row>
    <row r="29" spans="1:8" s="89" customFormat="1" ht="12.75" x14ac:dyDescent="0.2">
      <c r="A29" s="459" t="s">
        <v>625</v>
      </c>
      <c r="B29" s="777">
        <v>82880000</v>
      </c>
      <c r="C29" s="777">
        <v>82880000</v>
      </c>
      <c r="D29" s="778">
        <v>95996951.180000007</v>
      </c>
      <c r="E29" s="778">
        <f t="shared" si="0"/>
        <v>115.826437234556</v>
      </c>
      <c r="F29" s="458"/>
      <c r="G29" s="458"/>
      <c r="H29" s="458"/>
    </row>
    <row r="30" spans="1:8" s="89" customFormat="1" ht="12.75" x14ac:dyDescent="0.2">
      <c r="A30" s="459" t="s">
        <v>932</v>
      </c>
      <c r="B30" s="777">
        <v>3788000</v>
      </c>
      <c r="C30" s="777">
        <v>3788000</v>
      </c>
      <c r="D30" s="778">
        <v>5574507.9699999997</v>
      </c>
      <c r="E30" s="778">
        <f t="shared" si="0"/>
        <v>147.16230121436112</v>
      </c>
      <c r="F30" s="458"/>
      <c r="G30" s="458"/>
      <c r="H30" s="458"/>
    </row>
    <row r="31" spans="1:8" s="89" customFormat="1" ht="12.75" x14ac:dyDescent="0.2">
      <c r="A31" s="457" t="s">
        <v>933</v>
      </c>
      <c r="B31" s="777">
        <v>28350000</v>
      </c>
      <c r="C31" s="777">
        <v>29397509.32</v>
      </c>
      <c r="D31" s="778">
        <v>39764183.850000001</v>
      </c>
      <c r="E31" s="778">
        <f t="shared" si="0"/>
        <v>135.263785163416</v>
      </c>
      <c r="F31" s="458"/>
      <c r="G31" s="458"/>
      <c r="H31" s="458"/>
    </row>
    <row r="32" spans="1:8" s="89" customFormat="1" ht="12.75" x14ac:dyDescent="0.2">
      <c r="A32" s="457" t="s">
        <v>624</v>
      </c>
      <c r="B32" s="780">
        <f>SUM(B33:B34)</f>
        <v>0</v>
      </c>
      <c r="C32" s="777">
        <f>SUM(C33:C34)</f>
        <v>0</v>
      </c>
      <c r="D32" s="778">
        <f>SUM(D33:D34)</f>
        <v>0</v>
      </c>
      <c r="E32" s="778">
        <f t="shared" si="0"/>
        <v>0</v>
      </c>
      <c r="F32" s="458"/>
      <c r="G32" s="458"/>
      <c r="H32" s="458"/>
    </row>
    <row r="33" spans="1:8" s="89" customFormat="1" ht="12.75" x14ac:dyDescent="0.2">
      <c r="A33" s="459" t="s">
        <v>623</v>
      </c>
      <c r="B33" s="780"/>
      <c r="C33" s="777"/>
      <c r="D33" s="778"/>
      <c r="E33" s="778">
        <f t="shared" si="0"/>
        <v>0</v>
      </c>
      <c r="F33" s="458"/>
      <c r="G33" s="458"/>
      <c r="H33" s="458"/>
    </row>
    <row r="34" spans="1:8" s="89" customFormat="1" ht="12.75" x14ac:dyDescent="0.2">
      <c r="A34" s="459" t="s">
        <v>934</v>
      </c>
      <c r="B34" s="780"/>
      <c r="C34" s="777"/>
      <c r="D34" s="778"/>
      <c r="E34" s="778">
        <f t="shared" si="0"/>
        <v>0</v>
      </c>
      <c r="F34" s="458"/>
      <c r="G34" s="458"/>
      <c r="H34" s="458"/>
    </row>
    <row r="35" spans="1:8" s="89" customFormat="1" ht="12.75" x14ac:dyDescent="0.2">
      <c r="A35" s="457" t="s">
        <v>339</v>
      </c>
      <c r="B35" s="780">
        <f>B36+B40+B41+B42+B43+B44+B45</f>
        <v>381350000</v>
      </c>
      <c r="C35" s="777">
        <f>C36+C40+C41+C42+C43+C44+C45</f>
        <v>381350000</v>
      </c>
      <c r="D35" s="778">
        <f>D36+D40+D41+D42+D43+D44+D45</f>
        <v>395709528.57000005</v>
      </c>
      <c r="E35" s="778">
        <f t="shared" si="0"/>
        <v>103.76544606529437</v>
      </c>
      <c r="F35" s="458"/>
      <c r="G35" s="458"/>
      <c r="H35" s="458"/>
    </row>
    <row r="36" spans="1:8" s="89" customFormat="1" ht="12.75" x14ac:dyDescent="0.2">
      <c r="A36" s="457" t="s">
        <v>622</v>
      </c>
      <c r="B36" s="780">
        <f>SUM(B37:B39)</f>
        <v>75600000</v>
      </c>
      <c r="C36" s="777">
        <f>SUM(C37:C39)</f>
        <v>75600000</v>
      </c>
      <c r="D36" s="778">
        <f>SUM(D37:D39)</f>
        <v>74827272.039999992</v>
      </c>
      <c r="E36" s="778">
        <f t="shared" si="0"/>
        <v>98.977873068783069</v>
      </c>
      <c r="F36" s="458"/>
      <c r="G36" s="458"/>
      <c r="H36" s="458"/>
    </row>
    <row r="37" spans="1:8" s="89" customFormat="1" ht="12.75" x14ac:dyDescent="0.2">
      <c r="A37" s="457" t="s">
        <v>621</v>
      </c>
      <c r="B37" s="780">
        <v>70000000</v>
      </c>
      <c r="C37" s="777">
        <v>70000000</v>
      </c>
      <c r="D37" s="778">
        <v>68861571.469999999</v>
      </c>
      <c r="E37" s="778">
        <f t="shared" si="0"/>
        <v>98.37367352857143</v>
      </c>
      <c r="F37" s="458"/>
      <c r="G37" s="458"/>
      <c r="H37" s="458"/>
    </row>
    <row r="38" spans="1:8" s="89" customFormat="1" ht="12.75" x14ac:dyDescent="0.2">
      <c r="A38" s="457" t="s">
        <v>620</v>
      </c>
      <c r="B38" s="780">
        <v>2800000</v>
      </c>
      <c r="C38" s="777">
        <v>2800000</v>
      </c>
      <c r="D38" s="778">
        <v>3038988.5</v>
      </c>
      <c r="E38" s="778">
        <f t="shared" si="0"/>
        <v>108.53530357142857</v>
      </c>
      <c r="F38" s="458"/>
      <c r="G38" s="458"/>
      <c r="H38" s="458"/>
    </row>
    <row r="39" spans="1:8" s="89" customFormat="1" ht="12.75" x14ac:dyDescent="0.2">
      <c r="A39" s="457" t="s">
        <v>709</v>
      </c>
      <c r="B39" s="780">
        <v>2800000</v>
      </c>
      <c r="C39" s="777">
        <v>2800000</v>
      </c>
      <c r="D39" s="778">
        <v>2926712.07</v>
      </c>
      <c r="E39" s="778">
        <f t="shared" si="0"/>
        <v>104.52543107142857</v>
      </c>
      <c r="F39" s="458"/>
      <c r="G39" s="458"/>
      <c r="H39" s="458"/>
    </row>
    <row r="40" spans="1:8" s="89" customFormat="1" ht="12.75" x14ac:dyDescent="0.2">
      <c r="A40" s="457" t="s">
        <v>619</v>
      </c>
      <c r="B40" s="780">
        <v>241000000</v>
      </c>
      <c r="C40" s="777">
        <v>241000000</v>
      </c>
      <c r="D40" s="778">
        <v>253427277.43000001</v>
      </c>
      <c r="E40" s="778">
        <f t="shared" si="0"/>
        <v>105.15654665145229</v>
      </c>
      <c r="F40" s="458"/>
      <c r="G40" s="458"/>
      <c r="H40" s="458"/>
    </row>
    <row r="41" spans="1:8" s="89" customFormat="1" ht="12.75" x14ac:dyDescent="0.2">
      <c r="A41" s="457" t="s">
        <v>618</v>
      </c>
      <c r="B41" s="780">
        <v>1100000</v>
      </c>
      <c r="C41" s="777">
        <v>1100000</v>
      </c>
      <c r="D41" s="778">
        <v>0</v>
      </c>
      <c r="E41" s="778">
        <f t="shared" si="0"/>
        <v>0</v>
      </c>
      <c r="F41" s="458"/>
      <c r="G41" s="458"/>
      <c r="H41" s="458"/>
    </row>
    <row r="42" spans="1:8" s="89" customFormat="1" ht="12.75" x14ac:dyDescent="0.2">
      <c r="A42" s="457" t="s">
        <v>617</v>
      </c>
      <c r="B42" s="777">
        <v>1700000</v>
      </c>
      <c r="C42" s="777">
        <v>1700000</v>
      </c>
      <c r="D42" s="778">
        <v>1796171.83</v>
      </c>
      <c r="E42" s="778">
        <f t="shared" si="0"/>
        <v>105.65716647058825</v>
      </c>
      <c r="F42" s="458"/>
      <c r="G42" s="458"/>
      <c r="H42" s="458"/>
    </row>
    <row r="43" spans="1:8" s="89" customFormat="1" ht="12.75" x14ac:dyDescent="0.2">
      <c r="A43" s="457" t="s">
        <v>616</v>
      </c>
      <c r="B43" s="777">
        <v>950000</v>
      </c>
      <c r="C43" s="777">
        <v>950000</v>
      </c>
      <c r="D43" s="778">
        <v>793121.23</v>
      </c>
      <c r="E43" s="778">
        <f t="shared" si="0"/>
        <v>83.48644526315789</v>
      </c>
      <c r="F43" s="458"/>
      <c r="G43" s="458"/>
      <c r="H43" s="458"/>
    </row>
    <row r="44" spans="1:8" s="89" customFormat="1" ht="12.75" x14ac:dyDescent="0.2">
      <c r="A44" s="457" t="s">
        <v>615</v>
      </c>
      <c r="B44" s="777">
        <v>61000000</v>
      </c>
      <c r="C44" s="777">
        <v>61000000</v>
      </c>
      <c r="D44" s="778">
        <v>64865686.039999999</v>
      </c>
      <c r="E44" s="778">
        <f t="shared" si="0"/>
        <v>106.33719022950821</v>
      </c>
      <c r="F44" s="458"/>
      <c r="G44" s="458"/>
      <c r="H44" s="458"/>
    </row>
    <row r="45" spans="1:8" s="89" customFormat="1" ht="12.75" x14ac:dyDescent="0.2">
      <c r="A45" s="457" t="s">
        <v>614</v>
      </c>
      <c r="B45" s="777"/>
      <c r="C45" s="777"/>
      <c r="D45" s="778"/>
      <c r="E45" s="778">
        <f t="shared" si="0"/>
        <v>0</v>
      </c>
      <c r="F45" s="458"/>
      <c r="G45" s="458"/>
      <c r="H45" s="458"/>
    </row>
    <row r="46" spans="1:8" s="89" customFormat="1" ht="12.75" x14ac:dyDescent="0.2">
      <c r="A46" s="460" t="s">
        <v>553</v>
      </c>
      <c r="B46" s="781">
        <f>B21+B35</f>
        <v>632368500</v>
      </c>
      <c r="C46" s="781">
        <f>C21+C35</f>
        <v>633416009.31999993</v>
      </c>
      <c r="D46" s="782">
        <f>D21+D35</f>
        <v>694741481.32000005</v>
      </c>
      <c r="E46" s="782">
        <f t="shared" si="0"/>
        <v>109.68170540334712</v>
      </c>
      <c r="F46" s="458"/>
      <c r="G46" s="458"/>
      <c r="H46" s="458"/>
    </row>
    <row r="47" spans="1:8" s="89" customFormat="1" ht="12.75" x14ac:dyDescent="0.2">
      <c r="A47" s="461"/>
      <c r="B47" s="462"/>
      <c r="C47" s="462"/>
      <c r="D47" s="462"/>
      <c r="E47" s="462"/>
      <c r="F47" s="458"/>
      <c r="G47" s="458"/>
      <c r="H47" s="458"/>
    </row>
    <row r="48" spans="1:8" s="89" customFormat="1" ht="12.75" x14ac:dyDescent="0.2">
      <c r="A48" s="463"/>
      <c r="B48" s="464" t="s">
        <v>77</v>
      </c>
      <c r="C48" s="464" t="s">
        <v>77</v>
      </c>
      <c r="D48" s="1044" t="s">
        <v>78</v>
      </c>
      <c r="E48" s="1045"/>
      <c r="F48" s="458"/>
      <c r="G48" s="458"/>
      <c r="H48" s="458"/>
    </row>
    <row r="49" spans="1:8" s="89" customFormat="1" ht="12.75" x14ac:dyDescent="0.2">
      <c r="A49" s="465" t="s">
        <v>613</v>
      </c>
      <c r="B49" s="465" t="s">
        <v>80</v>
      </c>
      <c r="C49" s="465" t="s">
        <v>81</v>
      </c>
      <c r="D49" s="466" t="str">
        <f>CONCATENATE("Até o  ", B12)</f>
        <v>Até o  Bimestre</v>
      </c>
      <c r="E49" s="467" t="s">
        <v>83</v>
      </c>
      <c r="F49" s="458"/>
      <c r="G49" s="458"/>
      <c r="H49" s="458"/>
    </row>
    <row r="50" spans="1:8" s="89" customFormat="1" ht="12.75" x14ac:dyDescent="0.2">
      <c r="A50" s="468"/>
      <c r="B50" s="469"/>
      <c r="C50" s="469" t="s">
        <v>85</v>
      </c>
      <c r="D50" s="470" t="s">
        <v>86</v>
      </c>
      <c r="E50" s="471" t="s">
        <v>140</v>
      </c>
      <c r="F50" s="458"/>
      <c r="G50" s="458"/>
      <c r="H50" s="458"/>
    </row>
    <row r="51" spans="1:8" s="89" customFormat="1" ht="12.75" x14ac:dyDescent="0.2">
      <c r="A51" s="457" t="s">
        <v>612</v>
      </c>
      <c r="B51" s="777">
        <v>250000</v>
      </c>
      <c r="C51" s="779">
        <v>250000</v>
      </c>
      <c r="D51" s="783">
        <v>59429.06</v>
      </c>
      <c r="E51" s="783">
        <f t="shared" ref="E51:E64" si="1">IF(C51&gt;0,D51/C51,0)*100</f>
        <v>23.771623999999999</v>
      </c>
      <c r="F51" s="458"/>
      <c r="G51" s="458"/>
      <c r="H51" s="458"/>
    </row>
    <row r="52" spans="1:8" s="89" customFormat="1" ht="12.75" x14ac:dyDescent="0.2">
      <c r="A52" s="457" t="s">
        <v>611</v>
      </c>
      <c r="B52" s="780">
        <f>SUM(B53:B58)</f>
        <v>23126700</v>
      </c>
      <c r="C52" s="778">
        <f>SUM(C53:C58)</f>
        <v>23292733.300000001</v>
      </c>
      <c r="D52" s="784">
        <f>SUM(D53:D58)</f>
        <v>20312031.740000002</v>
      </c>
      <c r="E52" s="784">
        <f t="shared" si="1"/>
        <v>87.203298463903337</v>
      </c>
      <c r="F52" s="458"/>
      <c r="G52" s="458"/>
      <c r="H52" s="458"/>
    </row>
    <row r="53" spans="1:8" s="89" customFormat="1" ht="12.75" x14ac:dyDescent="0.2">
      <c r="A53" s="457" t="s">
        <v>610</v>
      </c>
      <c r="B53" s="780">
        <v>17205000</v>
      </c>
      <c r="C53" s="778">
        <v>17205000</v>
      </c>
      <c r="D53" s="784">
        <v>13942635.130000001</v>
      </c>
      <c r="E53" s="784">
        <f t="shared" si="1"/>
        <v>81.038274513222902</v>
      </c>
      <c r="F53" s="458"/>
      <c r="G53" s="458"/>
      <c r="H53" s="458"/>
    </row>
    <row r="54" spans="1:8" s="89" customFormat="1" ht="12.75" x14ac:dyDescent="0.2">
      <c r="A54" s="472" t="s">
        <v>609</v>
      </c>
      <c r="B54" s="780">
        <v>0</v>
      </c>
      <c r="C54" s="778">
        <v>1000</v>
      </c>
      <c r="D54" s="784">
        <v>1000</v>
      </c>
      <c r="E54" s="784">
        <f t="shared" si="1"/>
        <v>100</v>
      </c>
      <c r="F54" s="458"/>
      <c r="G54" s="458"/>
      <c r="H54" s="458"/>
    </row>
    <row r="55" spans="1:8" s="89" customFormat="1" ht="12.75" x14ac:dyDescent="0.2">
      <c r="A55" s="472" t="s">
        <v>608</v>
      </c>
      <c r="B55" s="780">
        <v>4995000</v>
      </c>
      <c r="C55" s="778">
        <v>4995000</v>
      </c>
      <c r="D55" s="784">
        <v>4764758</v>
      </c>
      <c r="E55" s="784">
        <f t="shared" si="1"/>
        <v>95.390550550550543</v>
      </c>
      <c r="F55" s="458"/>
      <c r="G55" s="458"/>
      <c r="H55" s="458"/>
    </row>
    <row r="56" spans="1:8" s="89" customFormat="1" ht="12.75" x14ac:dyDescent="0.2">
      <c r="A56" s="472" t="s">
        <v>607</v>
      </c>
      <c r="B56" s="780">
        <v>74500</v>
      </c>
      <c r="C56" s="778">
        <v>85236.1</v>
      </c>
      <c r="D56" s="784">
        <v>80731.360000000001</v>
      </c>
      <c r="E56" s="784">
        <f t="shared" si="1"/>
        <v>94.71498578653879</v>
      </c>
      <c r="F56" s="458"/>
      <c r="G56" s="458"/>
      <c r="H56" s="458"/>
    </row>
    <row r="57" spans="1:8" s="89" customFormat="1" ht="12.75" x14ac:dyDescent="0.2">
      <c r="A57" s="457" t="s">
        <v>705</v>
      </c>
      <c r="B57" s="780">
        <v>0</v>
      </c>
      <c r="C57" s="778">
        <v>0</v>
      </c>
      <c r="D57" s="784">
        <v>22774.09</v>
      </c>
      <c r="E57" s="784">
        <f t="shared" si="1"/>
        <v>0</v>
      </c>
      <c r="F57" s="458"/>
      <c r="G57" s="458"/>
      <c r="H57" s="458"/>
    </row>
    <row r="58" spans="1:8" s="89" customFormat="1" ht="12.75" x14ac:dyDescent="0.2">
      <c r="A58" s="457" t="s">
        <v>706</v>
      </c>
      <c r="B58" s="780">
        <v>852200</v>
      </c>
      <c r="C58" s="778">
        <v>1006497.2</v>
      </c>
      <c r="D58" s="784">
        <v>1500133.16</v>
      </c>
      <c r="E58" s="784">
        <f t="shared" si="1"/>
        <v>149.04494120798347</v>
      </c>
      <c r="F58" s="458"/>
      <c r="G58" s="458"/>
      <c r="H58" s="458"/>
    </row>
    <row r="59" spans="1:8" s="89" customFormat="1" ht="12.75" x14ac:dyDescent="0.2">
      <c r="A59" s="457" t="s">
        <v>606</v>
      </c>
      <c r="B59" s="780">
        <f>SUM(B60:B61)</f>
        <v>9946000</v>
      </c>
      <c r="C59" s="778">
        <f>SUM(C60:C61)</f>
        <v>10158679.609999999</v>
      </c>
      <c r="D59" s="784">
        <f>SUM(D60:D61)</f>
        <v>9941032.6500000004</v>
      </c>
      <c r="E59" s="784">
        <f t="shared" si="1"/>
        <v>97.857527076789069</v>
      </c>
      <c r="F59" s="458"/>
      <c r="G59" s="458"/>
      <c r="H59" s="458"/>
    </row>
    <row r="60" spans="1:8" s="89" customFormat="1" ht="12.75" x14ac:dyDescent="0.2">
      <c r="A60" s="473" t="s">
        <v>605</v>
      </c>
      <c r="B60" s="780">
        <v>9931000</v>
      </c>
      <c r="C60" s="778">
        <v>10134679.609999999</v>
      </c>
      <c r="D60" s="784">
        <v>9929403.4100000001</v>
      </c>
      <c r="E60" s="784">
        <f t="shared" si="1"/>
        <v>97.974517124375097</v>
      </c>
      <c r="F60" s="458"/>
      <c r="G60" s="458"/>
      <c r="H60" s="458"/>
    </row>
    <row r="61" spans="1:8" s="89" customFormat="1" ht="12.75" x14ac:dyDescent="0.2">
      <c r="A61" s="474" t="s">
        <v>604</v>
      </c>
      <c r="B61" s="780">
        <v>15000</v>
      </c>
      <c r="C61" s="778">
        <v>24000</v>
      </c>
      <c r="D61" s="784">
        <v>11629.24</v>
      </c>
      <c r="E61" s="784">
        <f t="shared" si="1"/>
        <v>48.455166666666663</v>
      </c>
      <c r="F61" s="458"/>
      <c r="G61" s="458"/>
      <c r="H61" s="458"/>
    </row>
    <row r="62" spans="1:8" s="89" customFormat="1" ht="12.75" x14ac:dyDescent="0.2">
      <c r="A62" s="457" t="s">
        <v>603</v>
      </c>
      <c r="B62" s="780"/>
      <c r="C62" s="778"/>
      <c r="D62" s="784"/>
      <c r="E62" s="784">
        <f t="shared" si="1"/>
        <v>0</v>
      </c>
      <c r="F62" s="458"/>
      <c r="G62" s="458"/>
      <c r="H62" s="458"/>
    </row>
    <row r="63" spans="1:8" s="89" customFormat="1" ht="12.75" x14ac:dyDescent="0.2">
      <c r="A63" s="457" t="s">
        <v>602</v>
      </c>
      <c r="B63" s="780"/>
      <c r="C63" s="778"/>
      <c r="D63" s="785"/>
      <c r="E63" s="784">
        <f t="shared" si="1"/>
        <v>0</v>
      </c>
      <c r="F63" s="458"/>
      <c r="G63" s="458"/>
      <c r="H63" s="458"/>
    </row>
    <row r="64" spans="1:8" s="89" customFormat="1" ht="12.75" x14ac:dyDescent="0.2">
      <c r="A64" s="460" t="s">
        <v>601</v>
      </c>
      <c r="B64" s="786">
        <f>B51+B52+B59+B62+B63</f>
        <v>33322700</v>
      </c>
      <c r="C64" s="787">
        <f>C51+C52+C59+C62+C63</f>
        <v>33701412.909999996</v>
      </c>
      <c r="D64" s="786">
        <f>D51+D52+D59+D62+D63</f>
        <v>30312493.450000003</v>
      </c>
      <c r="E64" s="782">
        <f t="shared" si="1"/>
        <v>89.944280766357949</v>
      </c>
      <c r="F64" s="458"/>
      <c r="G64" s="458"/>
      <c r="H64" s="458"/>
    </row>
    <row r="65" spans="1:8" s="89" customFormat="1" ht="15" customHeight="1" x14ac:dyDescent="0.2">
      <c r="A65" s="461"/>
      <c r="B65" s="475"/>
      <c r="C65" s="476"/>
      <c r="D65" s="476"/>
      <c r="E65" s="462"/>
      <c r="F65" s="458"/>
      <c r="G65" s="458"/>
      <c r="H65" s="458"/>
    </row>
    <row r="66" spans="1:8" s="89" customFormat="1" ht="12.75" x14ac:dyDescent="0.2">
      <c r="A66" s="1034" t="s">
        <v>142</v>
      </c>
      <c r="B66" s="1035"/>
      <c r="C66" s="1035"/>
      <c r="D66" s="1035"/>
      <c r="E66" s="1036"/>
      <c r="F66" s="458"/>
      <c r="G66" s="458"/>
      <c r="H66" s="458"/>
    </row>
    <row r="67" spans="1:8" s="89" customFormat="1" ht="12.75" x14ac:dyDescent="0.2">
      <c r="A67" s="477"/>
      <c r="B67" s="464" t="s">
        <v>77</v>
      </c>
      <c r="C67" s="464" t="s">
        <v>77</v>
      </c>
      <c r="D67" s="775" t="s">
        <v>78</v>
      </c>
      <c r="E67" s="776"/>
      <c r="F67" s="458"/>
      <c r="G67" s="458"/>
      <c r="H67" s="458"/>
    </row>
    <row r="68" spans="1:8" s="89" customFormat="1" ht="12.75" x14ac:dyDescent="0.2">
      <c r="A68" s="465" t="s">
        <v>143</v>
      </c>
      <c r="B68" s="465" t="s">
        <v>80</v>
      </c>
      <c r="C68" s="465" t="s">
        <v>81</v>
      </c>
      <c r="D68" s="466" t="str">
        <f>CONCATENATE("Até o  ", B12)</f>
        <v>Até o  Bimestre</v>
      </c>
      <c r="E68" s="467" t="s">
        <v>83</v>
      </c>
      <c r="F68" s="458"/>
      <c r="G68" s="458"/>
      <c r="H68" s="458"/>
    </row>
    <row r="69" spans="1:8" s="89" customFormat="1" ht="12.75" x14ac:dyDescent="0.2">
      <c r="A69" s="478"/>
      <c r="B69" s="469"/>
      <c r="C69" s="469" t="s">
        <v>85</v>
      </c>
      <c r="D69" s="470" t="s">
        <v>86</v>
      </c>
      <c r="E69" s="471" t="s">
        <v>140</v>
      </c>
      <c r="F69" s="458"/>
      <c r="G69" s="458"/>
      <c r="H69" s="458"/>
    </row>
    <row r="70" spans="1:8" s="89" customFormat="1" ht="12.75" x14ac:dyDescent="0.2">
      <c r="A70" s="479" t="s">
        <v>600</v>
      </c>
      <c r="B70" s="788">
        <f>SUM(B71:B76)</f>
        <v>75150000</v>
      </c>
      <c r="C70" s="779">
        <f>SUM(C71:C76)</f>
        <v>75150000</v>
      </c>
      <c r="D70" s="778">
        <f>SUM(D71:D76)</f>
        <v>77948765.350000009</v>
      </c>
      <c r="E70" s="783">
        <f t="shared" ref="E70:E81" si="2">IF(C70&gt;0,D70/C70,0)*100</f>
        <v>103.7242386560213</v>
      </c>
      <c r="F70" s="458"/>
      <c r="G70" s="458"/>
      <c r="H70" s="458"/>
    </row>
    <row r="71" spans="1:8" s="89" customFormat="1" ht="12.75" x14ac:dyDescent="0.2">
      <c r="A71" s="457" t="s">
        <v>599</v>
      </c>
      <c r="B71" s="780">
        <v>14000000</v>
      </c>
      <c r="C71" s="778">
        <v>14000000</v>
      </c>
      <c r="D71" s="778">
        <v>13772313.76</v>
      </c>
      <c r="E71" s="784">
        <f t="shared" si="2"/>
        <v>98.373669714285711</v>
      </c>
      <c r="F71" s="458"/>
      <c r="G71" s="458"/>
      <c r="H71" s="458"/>
    </row>
    <row r="72" spans="1:8" s="89" customFormat="1" ht="12.75" x14ac:dyDescent="0.2">
      <c r="A72" s="457" t="s">
        <v>598</v>
      </c>
      <c r="B72" s="780">
        <v>48200000</v>
      </c>
      <c r="C72" s="778">
        <v>48200000</v>
      </c>
      <c r="D72" s="778">
        <v>50685455.310000002</v>
      </c>
      <c r="E72" s="784">
        <f t="shared" si="2"/>
        <v>105.15654628630706</v>
      </c>
      <c r="F72" s="458"/>
      <c r="G72" s="458"/>
      <c r="H72" s="458"/>
    </row>
    <row r="73" spans="1:8" s="89" customFormat="1" ht="12.75" x14ac:dyDescent="0.2">
      <c r="A73" s="457" t="s">
        <v>597</v>
      </c>
      <c r="B73" s="780">
        <v>220000</v>
      </c>
      <c r="C73" s="778">
        <v>220000</v>
      </c>
      <c r="D73" s="778">
        <v>0</v>
      </c>
      <c r="E73" s="784">
        <f t="shared" si="2"/>
        <v>0</v>
      </c>
      <c r="F73" s="458"/>
      <c r="G73" s="458"/>
      <c r="H73" s="458"/>
    </row>
    <row r="74" spans="1:8" s="89" customFormat="1" ht="12.75" x14ac:dyDescent="0.2">
      <c r="A74" s="457" t="s">
        <v>596</v>
      </c>
      <c r="B74" s="780">
        <v>340000</v>
      </c>
      <c r="C74" s="778">
        <v>340000</v>
      </c>
      <c r="D74" s="778">
        <v>359234.42</v>
      </c>
      <c r="E74" s="784">
        <f t="shared" si="2"/>
        <v>105.65718235294116</v>
      </c>
      <c r="F74" s="458"/>
      <c r="G74" s="458"/>
      <c r="H74" s="458"/>
    </row>
    <row r="75" spans="1:8" s="89" customFormat="1" ht="11.25" customHeight="1" x14ac:dyDescent="0.2">
      <c r="A75" s="457" t="s">
        <v>595</v>
      </c>
      <c r="B75" s="780">
        <v>190000</v>
      </c>
      <c r="C75" s="778">
        <v>190000</v>
      </c>
      <c r="D75" s="778">
        <v>158624.13</v>
      </c>
      <c r="E75" s="784">
        <f t="shared" si="2"/>
        <v>83.486384210526325</v>
      </c>
      <c r="F75" s="458"/>
      <c r="G75" s="458"/>
      <c r="H75" s="458"/>
    </row>
    <row r="76" spans="1:8" s="89" customFormat="1" ht="12.75" x14ac:dyDescent="0.2">
      <c r="A76" s="457" t="s">
        <v>594</v>
      </c>
      <c r="B76" s="780">
        <v>12200000</v>
      </c>
      <c r="C76" s="778">
        <v>12200000</v>
      </c>
      <c r="D76" s="778">
        <v>12973137.73</v>
      </c>
      <c r="E76" s="784">
        <f t="shared" si="2"/>
        <v>106.33719450819672</v>
      </c>
      <c r="F76" s="458"/>
      <c r="G76" s="458"/>
      <c r="H76" s="458"/>
    </row>
    <row r="77" spans="1:8" s="89" customFormat="1" ht="12.75" x14ac:dyDescent="0.2">
      <c r="A77" s="457" t="s">
        <v>593</v>
      </c>
      <c r="B77" s="780">
        <f>SUM(B78:B80)</f>
        <v>110150000</v>
      </c>
      <c r="C77" s="778">
        <f>SUM(C78:C80)</f>
        <v>120462659.78</v>
      </c>
      <c r="D77" s="778">
        <f>SUM(D78:D80)</f>
        <v>120186888.03</v>
      </c>
      <c r="E77" s="784">
        <f t="shared" si="2"/>
        <v>99.771072836592154</v>
      </c>
      <c r="F77" s="458"/>
      <c r="G77" s="458"/>
      <c r="H77" s="458"/>
    </row>
    <row r="78" spans="1:8" s="89" customFormat="1" ht="12.75" x14ac:dyDescent="0.2">
      <c r="A78" s="457" t="s">
        <v>592</v>
      </c>
      <c r="B78" s="780">
        <v>110000000</v>
      </c>
      <c r="C78" s="778">
        <v>120172586.90000001</v>
      </c>
      <c r="D78" s="778">
        <v>119901112.43000001</v>
      </c>
      <c r="E78" s="784">
        <f t="shared" si="2"/>
        <v>99.774096175339963</v>
      </c>
      <c r="F78" s="458"/>
      <c r="G78" s="458"/>
      <c r="H78" s="458"/>
    </row>
    <row r="79" spans="1:8" s="89" customFormat="1" ht="12.75" x14ac:dyDescent="0.2">
      <c r="A79" s="457" t="s">
        <v>591</v>
      </c>
      <c r="B79" s="780"/>
      <c r="C79" s="778"/>
      <c r="D79" s="778"/>
      <c r="E79" s="784">
        <f t="shared" si="2"/>
        <v>0</v>
      </c>
      <c r="F79" s="458"/>
      <c r="G79" s="458"/>
      <c r="H79" s="458"/>
    </row>
    <row r="80" spans="1:8" s="89" customFormat="1" ht="12.75" x14ac:dyDescent="0.2">
      <c r="A80" s="457" t="s">
        <v>590</v>
      </c>
      <c r="B80" s="780">
        <v>150000</v>
      </c>
      <c r="C80" s="789">
        <v>290072.88</v>
      </c>
      <c r="D80" s="789">
        <v>285775.59999999998</v>
      </c>
      <c r="E80" s="784">
        <f t="shared" si="2"/>
        <v>98.518551613649635</v>
      </c>
      <c r="F80" s="458"/>
      <c r="G80" s="458"/>
      <c r="H80" s="458"/>
    </row>
    <row r="81" spans="1:12" s="89" customFormat="1" ht="12.75" x14ac:dyDescent="0.2">
      <c r="A81" s="460" t="s">
        <v>589</v>
      </c>
      <c r="B81" s="790">
        <f>B78-B70</f>
        <v>34850000</v>
      </c>
      <c r="C81" s="781">
        <f>C78-C70</f>
        <v>45022586.900000006</v>
      </c>
      <c r="D81" s="781">
        <f>D78-D70</f>
        <v>41952347.079999998</v>
      </c>
      <c r="E81" s="782">
        <f t="shared" si="2"/>
        <v>93.180667679493098</v>
      </c>
      <c r="F81" s="458"/>
      <c r="G81" s="458"/>
      <c r="H81" s="458"/>
    </row>
    <row r="82" spans="1:12" s="89" customFormat="1" ht="25.5" hidden="1" x14ac:dyDescent="0.2">
      <c r="A82" s="481" t="s">
        <v>588</v>
      </c>
      <c r="B82" s="480"/>
      <c r="C82" s="480"/>
      <c r="D82" s="480"/>
      <c r="E82" s="482"/>
      <c r="F82" s="483"/>
      <c r="G82" s="483"/>
      <c r="H82" s="483"/>
      <c r="I82" s="135"/>
      <c r="J82" s="90"/>
    </row>
    <row r="83" spans="1:12" s="89" customFormat="1" ht="12.75" x14ac:dyDescent="0.2">
      <c r="A83" s="548" t="str">
        <f>IF(D81=0,"",IF(D81&gt;0,"ACRÉSCIMO RESULTANTE DAS TRANSFERÊNCIAS DO FUNDEB","DECRÉSCIMO RESULTANTE DAS TRANSFERÊNCIAS DO FUNDEB"))</f>
        <v>ACRÉSCIMO RESULTANTE DAS TRANSFERÊNCIAS DO FUNDEB</v>
      </c>
      <c r="B83" s="547"/>
      <c r="C83" s="485"/>
      <c r="D83" s="485"/>
      <c r="E83" s="486"/>
      <c r="F83" s="487"/>
      <c r="G83" s="458"/>
      <c r="H83" s="488"/>
      <c r="I83" s="136"/>
      <c r="J83" s="136"/>
      <c r="K83" s="136"/>
      <c r="L83" s="90"/>
    </row>
    <row r="84" spans="1:12" s="89" customFormat="1" ht="12.75" x14ac:dyDescent="0.2">
      <c r="A84" s="487"/>
      <c r="B84" s="487"/>
      <c r="C84" s="487"/>
      <c r="D84" s="489"/>
      <c r="E84" s="489"/>
      <c r="F84" s="487"/>
      <c r="G84" s="458"/>
      <c r="H84" s="488"/>
      <c r="I84" s="136"/>
      <c r="J84" s="136"/>
      <c r="K84" s="136"/>
      <c r="L84" s="90"/>
    </row>
    <row r="85" spans="1:12" s="89" customFormat="1" ht="44.25" customHeight="1" x14ac:dyDescent="0.2">
      <c r="A85" s="1040" t="s">
        <v>144</v>
      </c>
      <c r="B85" s="466" t="s">
        <v>109</v>
      </c>
      <c r="C85" s="466" t="s">
        <v>109</v>
      </c>
      <c r="D85" s="1043" t="s">
        <v>110</v>
      </c>
      <c r="E85" s="1036"/>
      <c r="F85" s="1043" t="s">
        <v>111</v>
      </c>
      <c r="G85" s="1036"/>
      <c r="H85" s="490" t="s">
        <v>560</v>
      </c>
      <c r="I85" s="134"/>
      <c r="J85" s="125"/>
      <c r="K85" s="124"/>
      <c r="L85" s="90"/>
    </row>
    <row r="86" spans="1:12" s="89" customFormat="1" ht="12.75" x14ac:dyDescent="0.2">
      <c r="A86" s="1041"/>
      <c r="B86" s="491" t="s">
        <v>80</v>
      </c>
      <c r="C86" s="491" t="s">
        <v>81</v>
      </c>
      <c r="D86" s="466" t="str">
        <f>CONCATENATE("Até o  ", B12)</f>
        <v>Até o  Bimestre</v>
      </c>
      <c r="E86" s="492" t="s">
        <v>83</v>
      </c>
      <c r="F86" s="466" t="str">
        <f>CONCATENATE("Até o  ", B12)</f>
        <v>Até o  Bimestre</v>
      </c>
      <c r="G86" s="492" t="s">
        <v>83</v>
      </c>
      <c r="H86" s="493"/>
      <c r="I86" s="124"/>
      <c r="J86" s="124"/>
      <c r="K86" s="90"/>
      <c r="L86" s="90"/>
    </row>
    <row r="87" spans="1:12" s="89" customFormat="1" ht="12.75" x14ac:dyDescent="0.2">
      <c r="A87" s="1042"/>
      <c r="B87" s="468"/>
      <c r="C87" s="470" t="s">
        <v>114</v>
      </c>
      <c r="D87" s="470" t="s">
        <v>115</v>
      </c>
      <c r="E87" s="494" t="s">
        <v>145</v>
      </c>
      <c r="F87" s="470" t="s">
        <v>116</v>
      </c>
      <c r="G87" s="494" t="s">
        <v>551</v>
      </c>
      <c r="H87" s="495" t="s">
        <v>353</v>
      </c>
      <c r="I87" s="124"/>
      <c r="J87" s="124"/>
      <c r="K87" s="124"/>
      <c r="L87" s="90"/>
    </row>
    <row r="88" spans="1:12" s="89" customFormat="1" ht="12.75" x14ac:dyDescent="0.2">
      <c r="A88" s="496" t="s">
        <v>587</v>
      </c>
      <c r="B88" s="791">
        <f>SUM(B89:B90)</f>
        <v>84453000</v>
      </c>
      <c r="C88" s="791">
        <f>SUM(C89:C90)</f>
        <v>89993659.780000001</v>
      </c>
      <c r="D88" s="791">
        <f>SUM(D89:D90)</f>
        <v>89879025.599999994</v>
      </c>
      <c r="E88" s="791">
        <f t="shared" ref="E88:E94" si="3">IF(C88&gt;0,(D88/C88)*100,0)</f>
        <v>99.872619715344129</v>
      </c>
      <c r="F88" s="792">
        <f>SUM(F89:F90)</f>
        <v>89879025.599999994</v>
      </c>
      <c r="G88" s="793">
        <f t="shared" ref="G88:G94" si="4">IF(C88&gt;0,(F88/C88)*100,0)</f>
        <v>99.872619715344129</v>
      </c>
      <c r="H88" s="779">
        <f>SUM(H89:H90)</f>
        <v>0</v>
      </c>
    </row>
    <row r="89" spans="1:12" s="89" customFormat="1" ht="12.75" x14ac:dyDescent="0.2">
      <c r="A89" s="497" t="s">
        <v>586</v>
      </c>
      <c r="B89" s="794">
        <v>25597000</v>
      </c>
      <c r="C89" s="794">
        <v>26990000</v>
      </c>
      <c r="D89" s="794">
        <v>26959384.48</v>
      </c>
      <c r="E89" s="794">
        <f t="shared" si="3"/>
        <v>99.886567173027046</v>
      </c>
      <c r="F89" s="795">
        <v>26959384.48</v>
      </c>
      <c r="G89" s="777">
        <f t="shared" si="4"/>
        <v>99.886567173027046</v>
      </c>
      <c r="H89" s="778">
        <v>0</v>
      </c>
    </row>
    <row r="90" spans="1:12" s="89" customFormat="1" ht="12.75" x14ac:dyDescent="0.2">
      <c r="A90" s="497" t="s">
        <v>585</v>
      </c>
      <c r="B90" s="794">
        <v>58856000</v>
      </c>
      <c r="C90" s="794">
        <v>63003659.780000001</v>
      </c>
      <c r="D90" s="794">
        <v>62919641.119999997</v>
      </c>
      <c r="E90" s="794">
        <f t="shared" si="3"/>
        <v>99.866644794455766</v>
      </c>
      <c r="F90" s="795">
        <v>62919641.119999997</v>
      </c>
      <c r="G90" s="777">
        <f t="shared" si="4"/>
        <v>99.866644794455766</v>
      </c>
      <c r="H90" s="778">
        <v>0</v>
      </c>
    </row>
    <row r="91" spans="1:12" s="89" customFormat="1" ht="12.75" x14ac:dyDescent="0.2">
      <c r="A91" s="497" t="s">
        <v>584</v>
      </c>
      <c r="B91" s="794">
        <f>SUM(B92:B93)</f>
        <v>25697000</v>
      </c>
      <c r="C91" s="794">
        <f>SUM(C92:C93)</f>
        <v>30469000</v>
      </c>
      <c r="D91" s="794">
        <f>SUM(D92:D93)</f>
        <v>30307862.43</v>
      </c>
      <c r="E91" s="794">
        <f t="shared" si="3"/>
        <v>99.471142571137875</v>
      </c>
      <c r="F91" s="795">
        <f>SUM(F92:F93)</f>
        <v>30307862.43</v>
      </c>
      <c r="G91" s="777">
        <f t="shared" si="4"/>
        <v>99.471142571137875</v>
      </c>
      <c r="H91" s="778">
        <f>SUM(H92:H93)</f>
        <v>0</v>
      </c>
    </row>
    <row r="92" spans="1:12" s="89" customFormat="1" ht="12.75" x14ac:dyDescent="0.2">
      <c r="A92" s="497" t="s">
        <v>583</v>
      </c>
      <c r="B92" s="794">
        <v>17693000</v>
      </c>
      <c r="C92" s="794">
        <v>19228000</v>
      </c>
      <c r="D92" s="794">
        <v>19181574.66</v>
      </c>
      <c r="E92" s="794">
        <f t="shared" si="3"/>
        <v>99.758553463698775</v>
      </c>
      <c r="F92" s="795">
        <v>19181574.66</v>
      </c>
      <c r="G92" s="777">
        <f t="shared" si="4"/>
        <v>99.758553463698775</v>
      </c>
      <c r="H92" s="778">
        <v>0</v>
      </c>
    </row>
    <row r="93" spans="1:12" s="89" customFormat="1" ht="12.75" x14ac:dyDescent="0.2">
      <c r="A93" s="498" t="s">
        <v>582</v>
      </c>
      <c r="B93" s="794">
        <v>8004000</v>
      </c>
      <c r="C93" s="794">
        <v>11241000</v>
      </c>
      <c r="D93" s="794">
        <v>11126287.77</v>
      </c>
      <c r="E93" s="794">
        <f t="shared" si="3"/>
        <v>98.979519348812389</v>
      </c>
      <c r="F93" s="795">
        <v>11126287.77</v>
      </c>
      <c r="G93" s="796">
        <f t="shared" si="4"/>
        <v>98.979519348812389</v>
      </c>
      <c r="H93" s="789">
        <v>0</v>
      </c>
    </row>
    <row r="94" spans="1:12" s="89" customFormat="1" ht="12.75" x14ac:dyDescent="0.2">
      <c r="A94" s="498" t="s">
        <v>581</v>
      </c>
      <c r="B94" s="797">
        <f>B88+B91</f>
        <v>110150000</v>
      </c>
      <c r="C94" s="798">
        <f>C88+C91</f>
        <v>120462659.78</v>
      </c>
      <c r="D94" s="798">
        <f>D88+D91</f>
        <v>120186888.03</v>
      </c>
      <c r="E94" s="797">
        <f t="shared" si="3"/>
        <v>99.771072836592154</v>
      </c>
      <c r="F94" s="799">
        <f>F88+F91</f>
        <v>120186888.03</v>
      </c>
      <c r="G94" s="781">
        <f t="shared" si="4"/>
        <v>99.771072836592154</v>
      </c>
      <c r="H94" s="782">
        <f>H88+H91</f>
        <v>0</v>
      </c>
    </row>
    <row r="95" spans="1:12" s="89" customFormat="1" ht="12.75" x14ac:dyDescent="0.2">
      <c r="A95" s="461"/>
      <c r="B95" s="461"/>
      <c r="C95" s="499"/>
      <c r="D95" s="499"/>
      <c r="E95" s="499"/>
      <c r="F95" s="499"/>
      <c r="G95" s="500"/>
      <c r="H95" s="500"/>
    </row>
    <row r="96" spans="1:12" s="122" customFormat="1" ht="12.75" customHeight="1" x14ac:dyDescent="0.2">
      <c r="A96" s="501" t="s">
        <v>536</v>
      </c>
      <c r="B96" s="502" t="s">
        <v>165</v>
      </c>
      <c r="C96" s="503"/>
      <c r="D96" s="503"/>
      <c r="E96" s="503"/>
      <c r="F96" s="503"/>
      <c r="G96" s="503"/>
      <c r="H96" s="503"/>
      <c r="I96" s="304"/>
    </row>
    <row r="97" spans="1:11" s="89" customFormat="1" ht="25.5" x14ac:dyDescent="0.2">
      <c r="A97" s="504" t="s">
        <v>580</v>
      </c>
      <c r="B97" s="778"/>
      <c r="C97" s="505"/>
      <c r="D97" s="505"/>
      <c r="E97" s="505"/>
      <c r="F97" s="505"/>
      <c r="G97" s="505"/>
      <c r="H97" s="505"/>
      <c r="I97" s="90"/>
    </row>
    <row r="98" spans="1:11" s="89" customFormat="1" ht="12.75" x14ac:dyDescent="0.2">
      <c r="A98" s="506" t="s">
        <v>579</v>
      </c>
      <c r="B98" s="778">
        <f>B97*0.6</f>
        <v>0</v>
      </c>
      <c r="C98" s="505"/>
      <c r="D98" s="505"/>
      <c r="E98" s="505"/>
      <c r="F98" s="505"/>
      <c r="G98" s="505"/>
      <c r="H98" s="505"/>
      <c r="I98" s="90"/>
    </row>
    <row r="99" spans="1:11" s="89" customFormat="1" ht="12.75" x14ac:dyDescent="0.2">
      <c r="A99" s="506" t="s">
        <v>578</v>
      </c>
      <c r="B99" s="778">
        <f>B97-B98</f>
        <v>0</v>
      </c>
      <c r="C99" s="505"/>
      <c r="D99" s="505"/>
      <c r="E99" s="505"/>
      <c r="F99" s="505"/>
      <c r="G99" s="505"/>
      <c r="H99" s="505"/>
      <c r="I99" s="90"/>
    </row>
    <row r="100" spans="1:11" s="89" customFormat="1" ht="12.75" customHeight="1" x14ac:dyDescent="0.2">
      <c r="A100" s="507" t="s">
        <v>577</v>
      </c>
      <c r="B100" s="778">
        <f>SUM(B101:B102)</f>
        <v>0</v>
      </c>
      <c r="C100" s="505"/>
      <c r="D100" s="505"/>
      <c r="E100" s="505"/>
      <c r="F100" s="505"/>
      <c r="G100" s="505"/>
      <c r="H100" s="505"/>
      <c r="I100" s="90"/>
    </row>
    <row r="101" spans="1:11" s="89" customFormat="1" ht="12.75" x14ac:dyDescent="0.2">
      <c r="A101" s="506" t="s">
        <v>576</v>
      </c>
      <c r="B101" s="778"/>
      <c r="C101" s="505"/>
      <c r="D101" s="505"/>
      <c r="E101" s="505"/>
      <c r="F101" s="505"/>
      <c r="G101" s="505"/>
      <c r="H101" s="505"/>
      <c r="I101" s="90"/>
    </row>
    <row r="102" spans="1:11" s="89" customFormat="1" ht="12.75" x14ac:dyDescent="0.2">
      <c r="A102" s="508" t="s">
        <v>575</v>
      </c>
      <c r="B102" s="789"/>
      <c r="C102" s="505"/>
      <c r="D102" s="505"/>
      <c r="E102" s="505"/>
      <c r="F102" s="505"/>
      <c r="G102" s="505"/>
      <c r="H102" s="505"/>
      <c r="I102" s="90"/>
    </row>
    <row r="103" spans="1:11" s="89" customFormat="1" ht="12.75" customHeight="1" x14ac:dyDescent="0.2">
      <c r="A103" s="509" t="s">
        <v>574</v>
      </c>
      <c r="B103" s="800">
        <f>B97+B100</f>
        <v>0</v>
      </c>
      <c r="C103" s="505"/>
      <c r="D103" s="505"/>
      <c r="E103" s="505"/>
      <c r="F103" s="505"/>
      <c r="G103" s="505"/>
      <c r="H103" s="505"/>
      <c r="I103" s="90"/>
    </row>
    <row r="104" spans="1:11" s="89" customFormat="1" ht="12.75" customHeight="1" x14ac:dyDescent="0.2">
      <c r="A104" s="510"/>
      <c r="B104" s="510"/>
      <c r="C104" s="511"/>
      <c r="D104" s="511"/>
      <c r="E104" s="511"/>
      <c r="F104" s="511"/>
      <c r="G104" s="512"/>
      <c r="H104" s="512"/>
      <c r="I104" s="90"/>
      <c r="J104" s="90"/>
      <c r="K104" s="90"/>
    </row>
    <row r="105" spans="1:11" s="89" customFormat="1" ht="15.75" customHeight="1" x14ac:dyDescent="0.2">
      <c r="A105" s="501" t="s">
        <v>537</v>
      </c>
      <c r="B105" s="502" t="s">
        <v>165</v>
      </c>
      <c r="C105" s="505"/>
      <c r="D105" s="505"/>
      <c r="E105" s="505"/>
      <c r="F105" s="505"/>
      <c r="G105" s="505"/>
      <c r="H105" s="505"/>
      <c r="I105" s="90"/>
      <c r="J105" s="90"/>
      <c r="K105" s="90"/>
    </row>
    <row r="106" spans="1:11" s="89" customFormat="1" ht="12.75" customHeight="1" x14ac:dyDescent="0.2">
      <c r="A106" s="513" t="s">
        <v>573</v>
      </c>
      <c r="B106" s="778">
        <f>F94-B103</f>
        <v>120186888.03</v>
      </c>
      <c r="C106" s="458"/>
      <c r="D106" s="458"/>
      <c r="E106" s="458"/>
      <c r="F106" s="458"/>
      <c r="G106" s="458"/>
      <c r="H106" s="458"/>
    </row>
    <row r="107" spans="1:11" s="89" customFormat="1" ht="14.25" customHeight="1" x14ac:dyDescent="0.2">
      <c r="A107" s="514" t="s">
        <v>572</v>
      </c>
      <c r="B107" s="778">
        <f>IF(D77&gt;0,(F88-(B98+B101))/D77*100,0)</f>
        <v>74.782721371041049</v>
      </c>
      <c r="C107" s="458"/>
      <c r="D107" s="458"/>
      <c r="E107" s="458"/>
      <c r="F107" s="458"/>
      <c r="G107" s="458"/>
      <c r="H107" s="458"/>
    </row>
    <row r="108" spans="1:11" s="89" customFormat="1" ht="12.75" customHeight="1" x14ac:dyDescent="0.2">
      <c r="A108" s="514" t="s">
        <v>571</v>
      </c>
      <c r="B108" s="778">
        <f>IF(D77&gt;0,(F91-(B99+B102))/D77*100,0)</f>
        <v>25.21727862895894</v>
      </c>
      <c r="C108" s="458"/>
      <c r="D108" s="458"/>
      <c r="E108" s="458"/>
      <c r="F108" s="458"/>
      <c r="G108" s="458"/>
      <c r="H108" s="458"/>
    </row>
    <row r="109" spans="1:11" s="89" customFormat="1" ht="13.5" customHeight="1" x14ac:dyDescent="0.2">
      <c r="A109" s="484" t="s">
        <v>570</v>
      </c>
      <c r="B109" s="801">
        <f>100-B107-B108</f>
        <v>0</v>
      </c>
      <c r="C109" s="458"/>
      <c r="D109" s="458"/>
      <c r="E109" s="458"/>
      <c r="F109" s="458"/>
      <c r="G109" s="458"/>
      <c r="H109" s="458"/>
    </row>
    <row r="110" spans="1:11" s="89" customFormat="1" ht="13.5" customHeight="1" x14ac:dyDescent="0.2">
      <c r="A110" s="487"/>
      <c r="B110" s="515"/>
      <c r="C110" s="458"/>
      <c r="D110" s="458"/>
      <c r="E110" s="458"/>
      <c r="F110" s="458"/>
      <c r="G110" s="458"/>
      <c r="H110" s="458"/>
    </row>
    <row r="111" spans="1:11" s="133" customFormat="1" ht="16.5" customHeight="1" x14ac:dyDescent="0.2">
      <c r="A111" s="501" t="s">
        <v>569</v>
      </c>
      <c r="B111" s="502" t="s">
        <v>165</v>
      </c>
      <c r="C111" s="516"/>
      <c r="D111" s="516"/>
      <c r="E111" s="516"/>
      <c r="F111" s="516"/>
      <c r="G111" s="516"/>
      <c r="H111" s="516"/>
    </row>
    <row r="112" spans="1:11" s="89" customFormat="1" ht="13.5" customHeight="1" x14ac:dyDescent="0.2">
      <c r="A112" s="517" t="s">
        <v>568</v>
      </c>
      <c r="B112" s="778">
        <f>IF(B166&gt;B162+C162+B170,B166-B162-C162-B170,0)</f>
        <v>0</v>
      </c>
      <c r="C112" s="458"/>
      <c r="D112" s="458"/>
      <c r="E112" s="458"/>
      <c r="F112" s="458"/>
      <c r="G112" s="458"/>
      <c r="H112" s="458"/>
    </row>
    <row r="113" spans="1:12" s="89" customFormat="1" ht="17.25" customHeight="1" x14ac:dyDescent="0.2">
      <c r="A113" s="518" t="s">
        <v>567</v>
      </c>
      <c r="B113" s="789">
        <f>B100</f>
        <v>0</v>
      </c>
      <c r="C113" s="458"/>
      <c r="D113" s="458"/>
      <c r="E113" s="458"/>
      <c r="F113" s="458"/>
      <c r="G113" s="458"/>
      <c r="H113" s="458"/>
    </row>
    <row r="114" spans="1:12" s="89" customFormat="1" ht="12.75" x14ac:dyDescent="0.2">
      <c r="A114" s="487"/>
      <c r="B114" s="487"/>
      <c r="C114" s="487"/>
      <c r="D114" s="487"/>
      <c r="E114" s="487"/>
      <c r="F114" s="487"/>
      <c r="G114" s="505"/>
      <c r="H114" s="488"/>
      <c r="I114" s="136"/>
      <c r="J114" s="136"/>
      <c r="K114" s="136"/>
      <c r="L114" s="90"/>
    </row>
    <row r="115" spans="1:12" s="89" customFormat="1" ht="44.25" customHeight="1" x14ac:dyDescent="0.2">
      <c r="A115" s="1040" t="s">
        <v>340</v>
      </c>
      <c r="B115" s="466" t="s">
        <v>109</v>
      </c>
      <c r="C115" s="466" t="s">
        <v>109</v>
      </c>
      <c r="D115" s="1043" t="s">
        <v>110</v>
      </c>
      <c r="E115" s="1036"/>
      <c r="F115" s="1043" t="s">
        <v>111</v>
      </c>
      <c r="G115" s="1036"/>
      <c r="H115" s="490" t="s">
        <v>560</v>
      </c>
      <c r="I115" s="134"/>
      <c r="J115" s="125"/>
      <c r="K115" s="124"/>
      <c r="L115" s="90"/>
    </row>
    <row r="116" spans="1:12" s="89" customFormat="1" ht="12.75" x14ac:dyDescent="0.2">
      <c r="A116" s="1041"/>
      <c r="B116" s="491" t="s">
        <v>80</v>
      </c>
      <c r="C116" s="491" t="s">
        <v>81</v>
      </c>
      <c r="D116" s="466" t="str">
        <f>CONCATENATE("Até o  ", B12)</f>
        <v>Até o  Bimestre</v>
      </c>
      <c r="E116" s="492" t="s">
        <v>83</v>
      </c>
      <c r="F116" s="466" t="str">
        <f>CONCATENATE("Até o  ", B12)</f>
        <v>Até o  Bimestre</v>
      </c>
      <c r="G116" s="492" t="s">
        <v>83</v>
      </c>
      <c r="H116" s="493"/>
      <c r="I116" s="124"/>
      <c r="J116" s="124"/>
      <c r="K116" s="90"/>
      <c r="L116" s="90"/>
    </row>
    <row r="117" spans="1:12" s="89" customFormat="1" ht="12.75" x14ac:dyDescent="0.2">
      <c r="A117" s="1042"/>
      <c r="B117" s="468"/>
      <c r="C117" s="470" t="s">
        <v>114</v>
      </c>
      <c r="D117" s="470" t="s">
        <v>115</v>
      </c>
      <c r="E117" s="494" t="s">
        <v>145</v>
      </c>
      <c r="F117" s="470" t="s">
        <v>116</v>
      </c>
      <c r="G117" s="494" t="s">
        <v>551</v>
      </c>
      <c r="H117" s="495" t="s">
        <v>353</v>
      </c>
      <c r="I117" s="124"/>
      <c r="J117" s="124"/>
      <c r="K117" s="124"/>
      <c r="L117" s="90"/>
    </row>
    <row r="118" spans="1:12" s="89" customFormat="1" ht="12.75" x14ac:dyDescent="0.2">
      <c r="A118" s="479" t="s">
        <v>935</v>
      </c>
      <c r="B118" s="779">
        <f>B119+B122</f>
        <v>101850000</v>
      </c>
      <c r="C118" s="783">
        <f>C119+C122</f>
        <v>109229000</v>
      </c>
      <c r="D118" s="783">
        <f>D119+D122</f>
        <v>107611913.59</v>
      </c>
      <c r="E118" s="783">
        <f t="shared" ref="E118:E132" si="5">IF(C118&gt;0,D118/C118,0)*100</f>
        <v>98.519544800373524</v>
      </c>
      <c r="F118" s="793">
        <f>F119+F122</f>
        <v>106793589.37</v>
      </c>
      <c r="G118" s="793">
        <f t="shared" ref="G118:G132" si="6">IF(C118&gt;0,(F118/C118)*100,0)</f>
        <v>97.770362605168955</v>
      </c>
      <c r="H118" s="779">
        <f>H119+H122</f>
        <v>818324.22</v>
      </c>
      <c r="I118" s="90"/>
      <c r="J118" s="90"/>
      <c r="K118" s="90"/>
      <c r="L118" s="90"/>
    </row>
    <row r="119" spans="1:12" s="89" customFormat="1" ht="12.75" x14ac:dyDescent="0.2">
      <c r="A119" s="457" t="s">
        <v>936</v>
      </c>
      <c r="B119" s="778">
        <f>SUM(B120:B121)</f>
        <v>0</v>
      </c>
      <c r="C119" s="784">
        <f>SUM(C120:C121)</f>
        <v>0</v>
      </c>
      <c r="D119" s="784">
        <f>SUM(D120:D121)</f>
        <v>0</v>
      </c>
      <c r="E119" s="784">
        <f t="shared" si="5"/>
        <v>0</v>
      </c>
      <c r="F119" s="777">
        <f>SUM(F120:F121)</f>
        <v>0</v>
      </c>
      <c r="G119" s="777">
        <f t="shared" si="6"/>
        <v>0</v>
      </c>
      <c r="H119" s="778">
        <f>SUM(H120:H121)</f>
        <v>0</v>
      </c>
      <c r="I119" s="90"/>
      <c r="J119" s="90"/>
      <c r="K119" s="90"/>
      <c r="L119" s="90"/>
    </row>
    <row r="120" spans="1:12" s="89" customFormat="1" ht="12.75" x14ac:dyDescent="0.2">
      <c r="A120" s="457" t="s">
        <v>937</v>
      </c>
      <c r="B120" s="778"/>
      <c r="C120" s="784"/>
      <c r="D120" s="784"/>
      <c r="E120" s="784">
        <f t="shared" si="5"/>
        <v>0</v>
      </c>
      <c r="F120" s="777"/>
      <c r="G120" s="777">
        <f t="shared" si="6"/>
        <v>0</v>
      </c>
      <c r="H120" s="778"/>
    </row>
    <row r="121" spans="1:12" s="89" customFormat="1" ht="12.75" x14ac:dyDescent="0.2">
      <c r="A121" s="457" t="s">
        <v>938</v>
      </c>
      <c r="B121" s="778"/>
      <c r="C121" s="784"/>
      <c r="D121" s="784"/>
      <c r="E121" s="784">
        <f t="shared" si="5"/>
        <v>0</v>
      </c>
      <c r="F121" s="777"/>
      <c r="G121" s="777">
        <f t="shared" si="6"/>
        <v>0</v>
      </c>
      <c r="H121" s="778"/>
    </row>
    <row r="122" spans="1:12" s="89" customFormat="1" ht="12.75" x14ac:dyDescent="0.2">
      <c r="A122" s="457" t="s">
        <v>939</v>
      </c>
      <c r="B122" s="778">
        <f>SUM(B123:B124)</f>
        <v>101850000</v>
      </c>
      <c r="C122" s="784">
        <f>SUM(C123:C124)</f>
        <v>109229000</v>
      </c>
      <c r="D122" s="784">
        <f>SUM(D123:D124)</f>
        <v>107611913.59</v>
      </c>
      <c r="E122" s="784">
        <f t="shared" si="5"/>
        <v>98.519544800373524</v>
      </c>
      <c r="F122" s="777">
        <f>SUM(F123:F124)</f>
        <v>106793589.37</v>
      </c>
      <c r="G122" s="777">
        <f t="shared" si="6"/>
        <v>97.770362605168955</v>
      </c>
      <c r="H122" s="778">
        <f>SUM(H123:H124)</f>
        <v>818324.22</v>
      </c>
    </row>
    <row r="123" spans="1:12" s="89" customFormat="1" ht="12.75" x14ac:dyDescent="0.2">
      <c r="A123" s="457" t="s">
        <v>940</v>
      </c>
      <c r="B123" s="778">
        <v>43290000</v>
      </c>
      <c r="C123" s="784">
        <v>46218000</v>
      </c>
      <c r="D123" s="784">
        <v>46140959.140000001</v>
      </c>
      <c r="E123" s="784">
        <f t="shared" si="5"/>
        <v>99.833309835994626</v>
      </c>
      <c r="F123" s="777">
        <v>46140959.140000001</v>
      </c>
      <c r="G123" s="777">
        <f t="shared" si="6"/>
        <v>99.833309835994626</v>
      </c>
      <c r="H123" s="778">
        <v>0</v>
      </c>
    </row>
    <row r="124" spans="1:12" s="89" customFormat="1" ht="12.75" x14ac:dyDescent="0.2">
      <c r="A124" s="457" t="s">
        <v>941</v>
      </c>
      <c r="B124" s="778">
        <v>58560000</v>
      </c>
      <c r="C124" s="784">
        <v>63011000</v>
      </c>
      <c r="D124" s="784">
        <v>61470954.450000003</v>
      </c>
      <c r="E124" s="784">
        <f t="shared" si="5"/>
        <v>97.555909999841305</v>
      </c>
      <c r="F124" s="777">
        <v>60652630.229999997</v>
      </c>
      <c r="G124" s="777">
        <f t="shared" si="6"/>
        <v>96.257209423751405</v>
      </c>
      <c r="H124" s="778">
        <v>818324.22</v>
      </c>
    </row>
    <row r="125" spans="1:12" s="89" customFormat="1" ht="12.75" x14ac:dyDescent="0.2">
      <c r="A125" s="457" t="s">
        <v>942</v>
      </c>
      <c r="B125" s="778">
        <f>SUM(B126:B127)</f>
        <v>115466300</v>
      </c>
      <c r="C125" s="784">
        <f>SUM(C126:C127)</f>
        <v>135743959.78</v>
      </c>
      <c r="D125" s="784">
        <f>SUM(D126:D127)</f>
        <v>131523156.39</v>
      </c>
      <c r="E125" s="784">
        <f t="shared" si="5"/>
        <v>96.890614214554631</v>
      </c>
      <c r="F125" s="777">
        <f>SUM(F126:F127)</f>
        <v>129976016.12</v>
      </c>
      <c r="G125" s="777">
        <f t="shared" si="6"/>
        <v>95.750865328116191</v>
      </c>
      <c r="H125" s="778">
        <f>SUM(H126:H127)</f>
        <v>1547140.27</v>
      </c>
    </row>
    <row r="126" spans="1:12" s="89" customFormat="1" ht="12.75" x14ac:dyDescent="0.2">
      <c r="A126" s="457" t="s">
        <v>943</v>
      </c>
      <c r="B126" s="778">
        <v>66860000</v>
      </c>
      <c r="C126" s="784">
        <v>74244659.780000001</v>
      </c>
      <c r="D126" s="784">
        <v>74045928.890000001</v>
      </c>
      <c r="E126" s="784">
        <f t="shared" si="5"/>
        <v>99.732329718273505</v>
      </c>
      <c r="F126" s="777">
        <v>74045928.890000001</v>
      </c>
      <c r="G126" s="777">
        <f t="shared" si="6"/>
        <v>99.732329718273505</v>
      </c>
      <c r="H126" s="778">
        <v>0</v>
      </c>
    </row>
    <row r="127" spans="1:12" s="89" customFormat="1" ht="12.75" x14ac:dyDescent="0.2">
      <c r="A127" s="457" t="s">
        <v>944</v>
      </c>
      <c r="B127" s="778">
        <v>48606300</v>
      </c>
      <c r="C127" s="784">
        <v>61499300</v>
      </c>
      <c r="D127" s="784">
        <v>57477227.5</v>
      </c>
      <c r="E127" s="784">
        <f t="shared" si="5"/>
        <v>93.459970276084448</v>
      </c>
      <c r="F127" s="777">
        <v>55930087.229999997</v>
      </c>
      <c r="G127" s="777">
        <f t="shared" si="6"/>
        <v>90.944266406284285</v>
      </c>
      <c r="H127" s="778">
        <v>1547140.27</v>
      </c>
    </row>
    <row r="128" spans="1:12" s="89" customFormat="1" ht="12.75" x14ac:dyDescent="0.2">
      <c r="A128" s="457" t="s">
        <v>945</v>
      </c>
      <c r="B128" s="784">
        <v>4040000</v>
      </c>
      <c r="C128" s="784">
        <v>4115000</v>
      </c>
      <c r="D128" s="784">
        <v>4094524.88</v>
      </c>
      <c r="E128" s="784">
        <f t="shared" si="5"/>
        <v>99.502427217496958</v>
      </c>
      <c r="F128" s="777">
        <v>4094524.88</v>
      </c>
      <c r="G128" s="777">
        <f t="shared" si="6"/>
        <v>99.502427217496958</v>
      </c>
      <c r="H128" s="778">
        <v>0</v>
      </c>
    </row>
    <row r="129" spans="1:8" s="89" customFormat="1" ht="12.75" x14ac:dyDescent="0.2">
      <c r="A129" s="457" t="s">
        <v>946</v>
      </c>
      <c r="B129" s="784">
        <v>141000</v>
      </c>
      <c r="C129" s="784">
        <v>241000</v>
      </c>
      <c r="D129" s="784">
        <v>118696.29</v>
      </c>
      <c r="E129" s="784">
        <f t="shared" si="5"/>
        <v>49.251572614107879</v>
      </c>
      <c r="F129" s="777">
        <v>118696.29</v>
      </c>
      <c r="G129" s="777">
        <f t="shared" si="6"/>
        <v>49.251572614107879</v>
      </c>
      <c r="H129" s="778">
        <v>0</v>
      </c>
    </row>
    <row r="130" spans="1:8" s="89" customFormat="1" ht="12.75" x14ac:dyDescent="0.2">
      <c r="A130" s="457" t="s">
        <v>947</v>
      </c>
      <c r="B130" s="784">
        <v>9465000</v>
      </c>
      <c r="C130" s="784">
        <v>14459933.220000001</v>
      </c>
      <c r="D130" s="784">
        <v>11344230.49</v>
      </c>
      <c r="E130" s="784">
        <f t="shared" si="5"/>
        <v>78.452855330683192</v>
      </c>
      <c r="F130" s="777">
        <v>11306974.960000001</v>
      </c>
      <c r="G130" s="777">
        <f t="shared" si="6"/>
        <v>78.195208705120152</v>
      </c>
      <c r="H130" s="778">
        <v>37255.53</v>
      </c>
    </row>
    <row r="131" spans="1:8" s="89" customFormat="1" ht="12.75" x14ac:dyDescent="0.2">
      <c r="A131" s="519" t="s">
        <v>948</v>
      </c>
      <c r="B131" s="784"/>
      <c r="C131" s="784"/>
      <c r="D131" s="784"/>
      <c r="E131" s="784">
        <f t="shared" si="5"/>
        <v>0</v>
      </c>
      <c r="F131" s="796"/>
      <c r="G131" s="796">
        <f t="shared" si="6"/>
        <v>0</v>
      </c>
      <c r="H131" s="789"/>
    </row>
    <row r="132" spans="1:8" s="89" customFormat="1" ht="12.75" x14ac:dyDescent="0.2">
      <c r="A132" s="519" t="s">
        <v>949</v>
      </c>
      <c r="B132" s="802">
        <f>B118+B125+B128+B129+B130+B131</f>
        <v>230962300</v>
      </c>
      <c r="C132" s="802">
        <f>C118+C125+C128+C129+C130+C131</f>
        <v>263788893</v>
      </c>
      <c r="D132" s="802">
        <f>D118+D125+D128+D129+D130+D131</f>
        <v>254692521.64000002</v>
      </c>
      <c r="E132" s="802">
        <f t="shared" si="5"/>
        <v>96.551647320495789</v>
      </c>
      <c r="F132" s="781">
        <f>F118+F125+F128+F129+F130+F131</f>
        <v>252289801.62</v>
      </c>
      <c r="G132" s="782">
        <f t="shared" si="6"/>
        <v>95.640797742003485</v>
      </c>
      <c r="H132" s="802">
        <f>H118+H125+H128+H129+H130+H131</f>
        <v>2402720.02</v>
      </c>
    </row>
    <row r="133" spans="1:8" s="89" customFormat="1" ht="12.75" x14ac:dyDescent="0.2">
      <c r="A133" s="520"/>
      <c r="B133" s="487"/>
      <c r="C133" s="487"/>
      <c r="D133" s="487"/>
      <c r="E133" s="487"/>
      <c r="F133" s="487"/>
      <c r="G133" s="505"/>
      <c r="H133" s="505"/>
    </row>
    <row r="134" spans="1:8" s="89" customFormat="1" ht="12.75" x14ac:dyDescent="0.2">
      <c r="A134" s="501" t="s">
        <v>341</v>
      </c>
      <c r="B134" s="502" t="s">
        <v>165</v>
      </c>
      <c r="C134" s="458"/>
      <c r="D134" s="458"/>
      <c r="E134" s="458"/>
      <c r="F134" s="458"/>
      <c r="G134" s="458"/>
      <c r="H134" s="458"/>
    </row>
    <row r="135" spans="1:8" s="89" customFormat="1" ht="12.75" x14ac:dyDescent="0.2">
      <c r="A135" s="506" t="s">
        <v>950</v>
      </c>
      <c r="B135" s="778">
        <f>D81</f>
        <v>41952347.079999998</v>
      </c>
      <c r="C135" s="458"/>
      <c r="D135" s="458"/>
      <c r="E135" s="458"/>
      <c r="F135" s="458"/>
      <c r="G135" s="458"/>
      <c r="H135" s="458"/>
    </row>
    <row r="136" spans="1:8" s="89" customFormat="1" ht="12.75" x14ac:dyDescent="0.2">
      <c r="A136" s="506" t="s">
        <v>951</v>
      </c>
      <c r="B136" s="778"/>
      <c r="C136" s="458"/>
      <c r="D136" s="458"/>
      <c r="E136" s="458"/>
      <c r="F136" s="458"/>
      <c r="G136" s="458"/>
      <c r="H136" s="458"/>
    </row>
    <row r="137" spans="1:8" s="89" customFormat="1" ht="12.75" customHeight="1" x14ac:dyDescent="0.2">
      <c r="A137" s="507" t="s">
        <v>1016</v>
      </c>
      <c r="B137" s="778">
        <f>B171</f>
        <v>285775.59999999998</v>
      </c>
      <c r="C137" s="458"/>
      <c r="D137" s="458"/>
      <c r="E137" s="458"/>
      <c r="F137" s="458"/>
      <c r="G137" s="458"/>
      <c r="H137" s="458"/>
    </row>
    <row r="138" spans="1:8" s="89" customFormat="1" ht="12.75" customHeight="1" x14ac:dyDescent="0.2">
      <c r="A138" s="521" t="s">
        <v>987</v>
      </c>
      <c r="B138" s="778">
        <f>B100</f>
        <v>0</v>
      </c>
      <c r="C138" s="458"/>
      <c r="D138" s="458"/>
      <c r="E138" s="458"/>
      <c r="F138" s="458"/>
      <c r="G138" s="458"/>
      <c r="H138" s="458"/>
    </row>
    <row r="139" spans="1:8" s="89" customFormat="1" ht="25.5" x14ac:dyDescent="0.2">
      <c r="A139" s="521" t="s">
        <v>988</v>
      </c>
      <c r="B139" s="778"/>
      <c r="C139" s="458"/>
      <c r="D139" s="458"/>
      <c r="E139" s="458"/>
      <c r="F139" s="458"/>
      <c r="G139" s="458"/>
      <c r="H139" s="458"/>
    </row>
    <row r="140" spans="1:8" s="89" customFormat="1" ht="25.5" x14ac:dyDescent="0.2">
      <c r="A140" s="517" t="s">
        <v>989</v>
      </c>
      <c r="B140" s="778">
        <v>0</v>
      </c>
      <c r="C140" s="458"/>
      <c r="D140" s="458"/>
      <c r="E140" s="458"/>
      <c r="F140" s="458"/>
      <c r="G140" s="458"/>
      <c r="H140" s="458"/>
    </row>
    <row r="141" spans="1:8" s="89" customFormat="1" ht="25.5" x14ac:dyDescent="0.2">
      <c r="A141" s="522" t="s">
        <v>990</v>
      </c>
      <c r="B141" s="789">
        <v>383467.99</v>
      </c>
      <c r="C141" s="458"/>
      <c r="D141" s="458"/>
      <c r="E141" s="458"/>
      <c r="F141" s="458"/>
      <c r="G141" s="458"/>
      <c r="H141" s="458"/>
    </row>
    <row r="142" spans="1:8" s="89" customFormat="1" ht="12.75" x14ac:dyDescent="0.2">
      <c r="A142" s="506" t="s">
        <v>991</v>
      </c>
      <c r="B142" s="782">
        <f>SUM(B135:B141)</f>
        <v>42621590.670000002</v>
      </c>
      <c r="C142" s="505"/>
      <c r="D142" s="505"/>
      <c r="E142" s="505"/>
      <c r="F142" s="458"/>
      <c r="G142" s="458"/>
      <c r="H142" s="458"/>
    </row>
    <row r="143" spans="1:8" s="89" customFormat="1" ht="12.75" x14ac:dyDescent="0.2">
      <c r="A143" s="461"/>
      <c r="B143" s="462"/>
      <c r="C143" s="505"/>
      <c r="D143" s="505"/>
      <c r="E143" s="505"/>
      <c r="F143" s="458"/>
      <c r="G143" s="458"/>
      <c r="H143" s="458"/>
    </row>
    <row r="144" spans="1:8" s="89" customFormat="1" ht="12.75" x14ac:dyDescent="0.2">
      <c r="A144" s="509" t="s">
        <v>1012</v>
      </c>
      <c r="B144" s="803">
        <f>F118+F125+H118+H125-B142</f>
        <v>196513479.31</v>
      </c>
      <c r="C144" s="505"/>
      <c r="D144" s="505"/>
      <c r="E144" s="505"/>
      <c r="F144" s="458"/>
      <c r="G144" s="458"/>
      <c r="H144" s="458"/>
    </row>
    <row r="145" spans="1:12" s="89" customFormat="1" ht="12.75" x14ac:dyDescent="0.2">
      <c r="A145" s="509"/>
      <c r="B145" s="803"/>
      <c r="C145" s="505"/>
      <c r="D145" s="505"/>
      <c r="E145" s="505"/>
      <c r="F145" s="458"/>
      <c r="G145" s="458"/>
      <c r="H145" s="458"/>
    </row>
    <row r="146" spans="1:12" s="139" customFormat="1" ht="25.5" x14ac:dyDescent="0.2">
      <c r="A146" s="523" t="s">
        <v>1013</v>
      </c>
      <c r="B146" s="787">
        <f>IF(D46&gt;0,B144/D46*100,0)</f>
        <v>28.28584222963438</v>
      </c>
      <c r="C146" s="524"/>
      <c r="D146" s="524"/>
      <c r="E146" s="525"/>
      <c r="F146" s="526"/>
      <c r="G146" s="526"/>
      <c r="H146" s="526"/>
    </row>
    <row r="147" spans="1:12" s="139" customFormat="1" ht="16.899999999999999" customHeight="1" x14ac:dyDescent="0.2">
      <c r="A147" s="527"/>
      <c r="B147" s="528"/>
      <c r="C147" s="524"/>
      <c r="D147" s="524"/>
      <c r="E147" s="525"/>
      <c r="F147" s="526"/>
      <c r="G147" s="526"/>
      <c r="H147" s="526"/>
    </row>
    <row r="148" spans="1:12" s="89" customFormat="1" ht="12.75" x14ac:dyDescent="0.2">
      <c r="A148" s="1034" t="s">
        <v>342</v>
      </c>
      <c r="B148" s="1035"/>
      <c r="C148" s="1035"/>
      <c r="D148" s="1035"/>
      <c r="E148" s="1035"/>
      <c r="F148" s="1035"/>
      <c r="G148" s="1035"/>
      <c r="H148" s="1036"/>
      <c r="I148" s="136"/>
      <c r="J148" s="136"/>
      <c r="K148" s="136"/>
      <c r="L148" s="90"/>
    </row>
    <row r="149" spans="1:12" s="89" customFormat="1" ht="44.85" customHeight="1" x14ac:dyDescent="0.2">
      <c r="A149" s="529" t="s">
        <v>566</v>
      </c>
      <c r="B149" s="466" t="s">
        <v>109</v>
      </c>
      <c r="C149" s="466" t="s">
        <v>109</v>
      </c>
      <c r="D149" s="1043" t="s">
        <v>110</v>
      </c>
      <c r="E149" s="1036"/>
      <c r="F149" s="1043" t="s">
        <v>111</v>
      </c>
      <c r="G149" s="1036"/>
      <c r="H149" s="490" t="s">
        <v>560</v>
      </c>
      <c r="I149" s="134"/>
      <c r="J149" s="125"/>
      <c r="K149" s="124"/>
      <c r="L149" s="90"/>
    </row>
    <row r="150" spans="1:12" s="89" customFormat="1" ht="12.75" x14ac:dyDescent="0.2">
      <c r="A150" s="530"/>
      <c r="B150" s="491" t="s">
        <v>80</v>
      </c>
      <c r="C150" s="491" t="s">
        <v>81</v>
      </c>
      <c r="D150" s="466" t="str">
        <f>CONCATENATE("Até o  ", B12)</f>
        <v>Até o  Bimestre</v>
      </c>
      <c r="E150" s="492" t="s">
        <v>83</v>
      </c>
      <c r="F150" s="466" t="str">
        <f>CONCATENATE("Até o  ", B12)</f>
        <v>Até o  Bimestre</v>
      </c>
      <c r="G150" s="492" t="s">
        <v>83</v>
      </c>
      <c r="H150" s="493"/>
      <c r="I150" s="124"/>
      <c r="J150" s="124"/>
      <c r="K150" s="90"/>
      <c r="L150" s="90"/>
    </row>
    <row r="151" spans="1:12" s="89" customFormat="1" ht="12.75" x14ac:dyDescent="0.2">
      <c r="A151" s="531"/>
      <c r="B151" s="468"/>
      <c r="C151" s="470" t="s">
        <v>114</v>
      </c>
      <c r="D151" s="470" t="s">
        <v>115</v>
      </c>
      <c r="E151" s="494" t="s">
        <v>145</v>
      </c>
      <c r="F151" s="470" t="s">
        <v>116</v>
      </c>
      <c r="G151" s="494" t="s">
        <v>551</v>
      </c>
      <c r="H151" s="495" t="s">
        <v>353</v>
      </c>
      <c r="I151" s="124"/>
      <c r="J151" s="124"/>
      <c r="K151" s="124"/>
      <c r="L151" s="90"/>
    </row>
    <row r="152" spans="1:12" s="89" customFormat="1" ht="25.5" x14ac:dyDescent="0.2">
      <c r="A152" s="472" t="s">
        <v>992</v>
      </c>
      <c r="B152" s="778"/>
      <c r="C152" s="778"/>
      <c r="D152" s="778"/>
      <c r="E152" s="778">
        <f t="shared" ref="E152:E157" si="7">IF(C152&gt;0,D152/C152,0)*100</f>
        <v>0</v>
      </c>
      <c r="F152" s="780"/>
      <c r="G152" s="793">
        <f t="shared" ref="G152:G157" si="8">IF(C152&gt;0,(F152/C152)*100,0)</f>
        <v>0</v>
      </c>
      <c r="H152" s="779"/>
      <c r="I152" s="90"/>
      <c r="J152" s="90"/>
      <c r="K152" s="90"/>
      <c r="L152" s="90"/>
    </row>
    <row r="153" spans="1:12" s="89" customFormat="1" ht="14.25" customHeight="1" x14ac:dyDescent="0.2">
      <c r="A153" s="472" t="s">
        <v>993</v>
      </c>
      <c r="B153" s="784">
        <v>17555000</v>
      </c>
      <c r="C153" s="778">
        <v>35890000</v>
      </c>
      <c r="D153" s="778">
        <v>26954967.489999998</v>
      </c>
      <c r="E153" s="778">
        <f t="shared" si="7"/>
        <v>75.104395346893284</v>
      </c>
      <c r="F153" s="777">
        <v>24263014.280000001</v>
      </c>
      <c r="G153" s="777">
        <f t="shared" si="8"/>
        <v>67.603829144608525</v>
      </c>
      <c r="H153" s="778">
        <v>2691953.21</v>
      </c>
    </row>
    <row r="154" spans="1:12" s="89" customFormat="1" ht="12.75" x14ac:dyDescent="0.2">
      <c r="A154" s="521" t="s">
        <v>994</v>
      </c>
      <c r="B154" s="777"/>
      <c r="C154" s="777"/>
      <c r="D154" s="777"/>
      <c r="E154" s="777">
        <f t="shared" si="7"/>
        <v>0</v>
      </c>
      <c r="F154" s="777"/>
      <c r="G154" s="777">
        <f t="shared" si="8"/>
        <v>0</v>
      </c>
      <c r="H154" s="778"/>
    </row>
    <row r="155" spans="1:12" s="89" customFormat="1" ht="12.75" customHeight="1" x14ac:dyDescent="0.2">
      <c r="A155" s="532" t="s">
        <v>995</v>
      </c>
      <c r="B155" s="784">
        <v>15517700</v>
      </c>
      <c r="C155" s="778">
        <v>31001760.199999999</v>
      </c>
      <c r="D155" s="778">
        <v>29654832.440000001</v>
      </c>
      <c r="E155" s="778">
        <f t="shared" si="7"/>
        <v>95.655318435757735</v>
      </c>
      <c r="F155" s="777">
        <v>29592258.940000001</v>
      </c>
      <c r="G155" s="796">
        <f t="shared" si="8"/>
        <v>95.453479896280214</v>
      </c>
      <c r="H155" s="789">
        <v>62573.5</v>
      </c>
    </row>
    <row r="156" spans="1:12" s="89" customFormat="1" ht="25.9" customHeight="1" x14ac:dyDescent="0.2">
      <c r="A156" s="532" t="s">
        <v>1014</v>
      </c>
      <c r="B156" s="782">
        <f>SUM(B152:B155)</f>
        <v>33072700</v>
      </c>
      <c r="C156" s="782">
        <f>SUM(C152:C155)</f>
        <v>66891760.200000003</v>
      </c>
      <c r="D156" s="782">
        <f>SUM(D152:D155)</f>
        <v>56609799.93</v>
      </c>
      <c r="E156" s="782">
        <f t="shared" si="7"/>
        <v>84.628958425883965</v>
      </c>
      <c r="F156" s="782">
        <f>SUM(F152:F155)</f>
        <v>53855273.219999999</v>
      </c>
      <c r="G156" s="796">
        <f t="shared" si="8"/>
        <v>80.51107200494927</v>
      </c>
      <c r="H156" s="789">
        <f>SUM(H152:H155)</f>
        <v>2754526.71</v>
      </c>
    </row>
    <row r="157" spans="1:12" s="89" customFormat="1" ht="12.75" x14ac:dyDescent="0.2">
      <c r="A157" s="532" t="s">
        <v>1015</v>
      </c>
      <c r="B157" s="802">
        <f>B132+B156</f>
        <v>264035000</v>
      </c>
      <c r="C157" s="782">
        <f>C132+C156</f>
        <v>330680653.19999999</v>
      </c>
      <c r="D157" s="782">
        <f>D132+D156</f>
        <v>311302321.56999999</v>
      </c>
      <c r="E157" s="782">
        <f t="shared" si="7"/>
        <v>94.139865322486912</v>
      </c>
      <c r="F157" s="796">
        <f>F132+F156</f>
        <v>306145074.84000003</v>
      </c>
      <c r="G157" s="796">
        <f t="shared" si="8"/>
        <v>92.580280060968505</v>
      </c>
      <c r="H157" s="789">
        <f>H132+H156</f>
        <v>5157246.7300000004</v>
      </c>
    </row>
    <row r="158" spans="1:12" s="89" customFormat="1" ht="12.75" x14ac:dyDescent="0.2">
      <c r="A158" s="533"/>
      <c r="B158" s="500"/>
      <c r="C158" s="500"/>
      <c r="D158" s="500"/>
      <c r="E158" s="500"/>
      <c r="F158" s="500"/>
      <c r="G158" s="500"/>
      <c r="H158" s="500"/>
    </row>
    <row r="159" spans="1:12" s="89" customFormat="1" ht="37.5" customHeight="1" x14ac:dyDescent="0.2">
      <c r="A159" s="534" t="s">
        <v>146</v>
      </c>
      <c r="B159" s="529" t="str">
        <f>CONCATENATE("SALDO ATÉ O  ", UPPER(B12))</f>
        <v>SALDO ATÉ O  BIMESTRE</v>
      </c>
      <c r="C159" s="529" t="s">
        <v>741</v>
      </c>
      <c r="D159" s="458"/>
      <c r="E159" s="458"/>
      <c r="F159" s="458"/>
      <c r="G159" s="458"/>
      <c r="H159" s="458"/>
    </row>
    <row r="160" spans="1:12" s="89" customFormat="1" ht="12.75" x14ac:dyDescent="0.2">
      <c r="A160" s="535" t="s">
        <v>996</v>
      </c>
      <c r="B160" s="779">
        <f>B161+B162</f>
        <v>0</v>
      </c>
      <c r="C160" s="779">
        <f>C161+C162</f>
        <v>0</v>
      </c>
      <c r="D160" s="458"/>
      <c r="E160" s="458"/>
      <c r="F160" s="458"/>
      <c r="G160" s="458"/>
      <c r="H160" s="458"/>
    </row>
    <row r="161" spans="1:8" s="89" customFormat="1" ht="12.75" x14ac:dyDescent="0.2">
      <c r="A161" s="536" t="s">
        <v>997</v>
      </c>
      <c r="B161" s="778">
        <v>0</v>
      </c>
      <c r="C161" s="778">
        <v>0</v>
      </c>
      <c r="D161" s="458"/>
      <c r="E161" s="458"/>
      <c r="F161" s="458"/>
      <c r="G161" s="458"/>
      <c r="H161" s="458"/>
    </row>
    <row r="162" spans="1:8" s="89" customFormat="1" ht="12.75" x14ac:dyDescent="0.2">
      <c r="A162" s="537" t="s">
        <v>998</v>
      </c>
      <c r="B162" s="789">
        <v>0</v>
      </c>
      <c r="C162" s="789">
        <v>0</v>
      </c>
      <c r="D162" s="458"/>
      <c r="E162" s="458"/>
      <c r="F162" s="458"/>
      <c r="G162" s="458"/>
      <c r="H162" s="458"/>
    </row>
    <row r="163" spans="1:8" s="89" customFormat="1" ht="12.75" x14ac:dyDescent="0.2">
      <c r="A163" s="525"/>
      <c r="B163" s="525"/>
      <c r="C163" s="538"/>
      <c r="D163" s="458"/>
      <c r="E163" s="458"/>
      <c r="F163" s="458"/>
      <c r="G163" s="458"/>
      <c r="H163" s="458"/>
    </row>
    <row r="164" spans="1:8" s="89" customFormat="1" ht="12.75" x14ac:dyDescent="0.2">
      <c r="A164" s="539" t="s">
        <v>538</v>
      </c>
      <c r="B164" s="540" t="s">
        <v>142</v>
      </c>
      <c r="C164" s="768" t="s">
        <v>952</v>
      </c>
      <c r="D164" s="458"/>
      <c r="E164" s="458"/>
      <c r="F164" s="458"/>
      <c r="G164" s="458"/>
      <c r="H164" s="458"/>
    </row>
    <row r="165" spans="1:8" s="89" customFormat="1" ht="12.75" x14ac:dyDescent="0.2">
      <c r="A165" s="541"/>
      <c r="B165" s="804"/>
      <c r="C165" s="804" t="s">
        <v>953</v>
      </c>
      <c r="D165" s="458"/>
      <c r="E165" s="458"/>
      <c r="F165" s="458"/>
      <c r="G165" s="458"/>
      <c r="H165" s="458"/>
    </row>
    <row r="166" spans="1:8" s="89" customFormat="1" ht="12.75" x14ac:dyDescent="0.2">
      <c r="A166" s="805" t="s">
        <v>999</v>
      </c>
      <c r="B166" s="793">
        <v>576447.35</v>
      </c>
      <c r="C166" s="779">
        <f>18572745.37-77485.22</f>
        <v>18495260.150000002</v>
      </c>
      <c r="D166" s="458"/>
      <c r="E166" s="458"/>
      <c r="F166" s="458"/>
      <c r="G166" s="458"/>
      <c r="H166" s="458"/>
    </row>
    <row r="167" spans="1:8" s="89" customFormat="1" ht="12.75" x14ac:dyDescent="0.2">
      <c r="A167" s="806" t="s">
        <v>1000</v>
      </c>
      <c r="B167" s="777">
        <f>D78+D79</f>
        <v>119901112.43000001</v>
      </c>
      <c r="C167" s="778">
        <v>13942635.130000001</v>
      </c>
      <c r="D167" s="458"/>
      <c r="E167" s="458"/>
      <c r="F167" s="458"/>
      <c r="G167" s="458"/>
      <c r="H167" s="458"/>
    </row>
    <row r="168" spans="1:8" s="89" customFormat="1" ht="12.75" x14ac:dyDescent="0.2">
      <c r="A168" s="806" t="s">
        <v>1001</v>
      </c>
      <c r="B168" s="777">
        <f>SUM(B169:B170)</f>
        <v>117537662.84999999</v>
      </c>
      <c r="C168" s="778">
        <f>SUM(C169:C170)</f>
        <v>23821671.710000001</v>
      </c>
      <c r="D168" s="458"/>
      <c r="E168" s="458"/>
      <c r="F168" s="458"/>
      <c r="G168" s="458"/>
      <c r="H168" s="458"/>
    </row>
    <row r="169" spans="1:8" s="89" customFormat="1" ht="12.75" x14ac:dyDescent="0.2">
      <c r="A169" s="806" t="s">
        <v>1002</v>
      </c>
      <c r="B169" s="777">
        <v>116961215.5</v>
      </c>
      <c r="C169" s="778">
        <v>23584541.370000001</v>
      </c>
      <c r="D169" s="458"/>
      <c r="E169" s="458"/>
      <c r="F169" s="458"/>
      <c r="G169" s="458"/>
      <c r="H169" s="458"/>
    </row>
    <row r="170" spans="1:8" s="89" customFormat="1" ht="12.75" x14ac:dyDescent="0.2">
      <c r="A170" s="806" t="s">
        <v>1003</v>
      </c>
      <c r="B170" s="777">
        <v>576447.35</v>
      </c>
      <c r="C170" s="778">
        <v>237130.34</v>
      </c>
      <c r="D170" s="458"/>
      <c r="E170" s="458"/>
      <c r="F170" s="458"/>
      <c r="G170" s="458"/>
      <c r="H170" s="458"/>
    </row>
    <row r="171" spans="1:8" s="89" customFormat="1" ht="12.75" x14ac:dyDescent="0.2">
      <c r="A171" s="806" t="s">
        <v>1004</v>
      </c>
      <c r="B171" s="777">
        <f>D80</f>
        <v>285775.59999999998</v>
      </c>
      <c r="C171" s="778">
        <v>983299.06</v>
      </c>
      <c r="D171" s="458"/>
      <c r="E171" s="458"/>
      <c r="F171" s="458"/>
      <c r="G171" s="458"/>
      <c r="H171" s="458"/>
    </row>
    <row r="172" spans="1:8" s="89" customFormat="1" ht="12.75" x14ac:dyDescent="0.2">
      <c r="A172" s="807" t="s">
        <v>1005</v>
      </c>
      <c r="B172" s="777">
        <f>B166+B167-B168+B171</f>
        <v>3225672.5300000072</v>
      </c>
      <c r="C172" s="778">
        <f>C166+C167-C168+C171</f>
        <v>9599522.6300000008</v>
      </c>
      <c r="D172" s="458"/>
      <c r="E172" s="458"/>
      <c r="F172" s="458"/>
      <c r="G172" s="458"/>
      <c r="H172" s="458"/>
    </row>
    <row r="173" spans="1:8" s="89" customFormat="1" ht="12.75" x14ac:dyDescent="0.2">
      <c r="A173" s="807" t="s">
        <v>1006</v>
      </c>
      <c r="B173" s="777">
        <f>B174-B175+B176+B177</f>
        <v>0</v>
      </c>
      <c r="C173" s="778">
        <f>C174-C175+C176+C177</f>
        <v>0</v>
      </c>
      <c r="D173" s="458"/>
      <c r="E173" s="458"/>
      <c r="F173" s="458"/>
      <c r="G173" s="458"/>
      <c r="H173" s="458"/>
    </row>
    <row r="174" spans="1:8" s="89" customFormat="1" ht="12.75" x14ac:dyDescent="0.2">
      <c r="A174" s="118" t="s">
        <v>1007</v>
      </c>
      <c r="B174" s="777"/>
      <c r="C174" s="778"/>
      <c r="D174" s="458"/>
      <c r="E174" s="458"/>
      <c r="F174" s="458"/>
      <c r="G174" s="458"/>
      <c r="H174" s="458"/>
    </row>
    <row r="175" spans="1:8" s="89" customFormat="1" ht="12.75" x14ac:dyDescent="0.2">
      <c r="A175" s="118" t="s">
        <v>1008</v>
      </c>
      <c r="B175" s="777"/>
      <c r="C175" s="778"/>
      <c r="D175" s="458"/>
      <c r="E175" s="458"/>
      <c r="F175" s="458"/>
      <c r="G175" s="458"/>
      <c r="H175" s="458"/>
    </row>
    <row r="176" spans="1:8" s="89" customFormat="1" ht="12.75" x14ac:dyDescent="0.2">
      <c r="A176" s="118" t="s">
        <v>1009</v>
      </c>
      <c r="B176" s="777"/>
      <c r="C176" s="778"/>
      <c r="D176" s="458"/>
      <c r="E176" s="458"/>
      <c r="F176" s="458"/>
      <c r="G176" s="458"/>
      <c r="H176" s="458"/>
    </row>
    <row r="177" spans="1:8" s="89" customFormat="1" ht="12.75" x14ac:dyDescent="0.2">
      <c r="A177" s="118" t="s">
        <v>1010</v>
      </c>
      <c r="B177" s="777"/>
      <c r="C177" s="778"/>
      <c r="D177" s="458"/>
      <c r="E177" s="458"/>
      <c r="F177" s="458"/>
      <c r="G177" s="458"/>
      <c r="H177" s="458"/>
    </row>
    <row r="178" spans="1:8" s="89" customFormat="1" ht="12.75" x14ac:dyDescent="0.2">
      <c r="A178" s="839" t="s">
        <v>1011</v>
      </c>
      <c r="B178" s="796">
        <f>B172+B173</f>
        <v>3225672.5300000072</v>
      </c>
      <c r="C178" s="789">
        <f>C172+C173</f>
        <v>9599522.6300000008</v>
      </c>
      <c r="D178" s="458"/>
      <c r="E178" s="458"/>
      <c r="F178" s="458"/>
      <c r="G178" s="458"/>
      <c r="H178" s="458"/>
    </row>
    <row r="179" spans="1:8" s="89" customFormat="1" ht="12.75" x14ac:dyDescent="0.2">
      <c r="A179" s="855" t="s">
        <v>1034</v>
      </c>
      <c r="B179" s="505"/>
      <c r="C179" s="505"/>
      <c r="D179" s="505"/>
      <c r="E179" s="505"/>
      <c r="F179" s="505"/>
      <c r="G179" s="505"/>
      <c r="H179" s="505"/>
    </row>
    <row r="180" spans="1:8" s="89" customFormat="1" ht="12.75" customHeight="1" x14ac:dyDescent="0.2">
      <c r="A180" s="542" t="s">
        <v>565</v>
      </c>
      <c r="B180" s="505"/>
      <c r="C180" s="505"/>
      <c r="D180" s="505"/>
      <c r="E180" s="505"/>
      <c r="F180" s="505"/>
      <c r="G180" s="458"/>
      <c r="H180" s="458"/>
    </row>
    <row r="181" spans="1:8" s="89" customFormat="1" ht="27" customHeight="1" x14ac:dyDescent="0.2">
      <c r="A181" s="1048" t="s">
        <v>564</v>
      </c>
      <c r="B181" s="1049"/>
      <c r="C181" s="1049"/>
      <c r="D181" s="1049"/>
      <c r="E181" s="1049"/>
      <c r="F181" s="1049"/>
      <c r="G181" s="1049"/>
      <c r="H181" s="1049"/>
    </row>
    <row r="182" spans="1:8" s="89" customFormat="1" ht="12.75" customHeight="1" x14ac:dyDescent="0.2">
      <c r="A182" s="543" t="s">
        <v>563</v>
      </c>
      <c r="B182" s="544"/>
      <c r="C182" s="544"/>
      <c r="D182" s="544"/>
      <c r="E182" s="544"/>
      <c r="F182" s="544"/>
      <c r="G182" s="458"/>
      <c r="H182" s="458"/>
    </row>
    <row r="183" spans="1:8" s="89" customFormat="1" ht="12.75" customHeight="1" x14ac:dyDescent="0.2">
      <c r="A183" s="549" t="s">
        <v>562</v>
      </c>
      <c r="B183" s="549"/>
      <c r="C183" s="549"/>
      <c r="D183" s="549"/>
      <c r="E183" s="549"/>
      <c r="F183" s="549"/>
      <c r="G183" s="543"/>
      <c r="H183" s="543"/>
    </row>
    <row r="184" spans="1:8" s="89" customFormat="1" ht="12.75" customHeight="1" x14ac:dyDescent="0.2">
      <c r="A184" s="543" t="s">
        <v>561</v>
      </c>
      <c r="B184" s="544"/>
      <c r="C184" s="544"/>
      <c r="D184" s="544"/>
      <c r="E184" s="544"/>
      <c r="F184" s="544"/>
      <c r="G184" s="458"/>
      <c r="H184" s="458"/>
    </row>
    <row r="185" spans="1:8" ht="15.6" customHeight="1" x14ac:dyDescent="0.2">
      <c r="A185" s="550" t="s">
        <v>699</v>
      </c>
      <c r="B185" s="550"/>
      <c r="C185" s="550"/>
      <c r="D185" s="550"/>
      <c r="E185" s="550"/>
      <c r="F185" s="550"/>
      <c r="G185" s="550"/>
      <c r="H185" s="550"/>
    </row>
    <row r="186" spans="1:8" ht="16.5" customHeight="1" x14ac:dyDescent="0.2">
      <c r="A186" s="551" t="s">
        <v>700</v>
      </c>
      <c r="B186" s="551"/>
      <c r="C186" s="551"/>
      <c r="D186" s="545"/>
      <c r="E186" s="545"/>
      <c r="F186" s="545"/>
      <c r="G186" s="545"/>
      <c r="H186" s="545"/>
    </row>
    <row r="187" spans="1:8" ht="11.25" customHeight="1" x14ac:dyDescent="0.2">
      <c r="A187" s="545"/>
      <c r="B187" s="545"/>
      <c r="C187" s="545"/>
      <c r="D187" s="545"/>
      <c r="E187" s="545"/>
      <c r="F187" s="545"/>
      <c r="G187" s="545"/>
      <c r="H187" s="545"/>
    </row>
    <row r="188" spans="1:8" ht="11.25" customHeight="1" x14ac:dyDescent="0.2">
      <c r="A188" s="545"/>
      <c r="B188" s="545"/>
      <c r="C188" s="545"/>
      <c r="D188" s="545"/>
      <c r="E188" s="545"/>
      <c r="F188" s="545"/>
      <c r="G188" s="545"/>
      <c r="H188" s="545"/>
    </row>
    <row r="189" spans="1:8" ht="11.25" customHeight="1" x14ac:dyDescent="0.2">
      <c r="A189" s="545"/>
      <c r="B189" s="545"/>
      <c r="C189" s="545"/>
      <c r="D189" s="545"/>
      <c r="E189" s="545"/>
      <c r="F189" s="545"/>
      <c r="G189" s="545"/>
      <c r="H189" s="545"/>
    </row>
    <row r="190" spans="1:8" ht="11.25" customHeight="1" x14ac:dyDescent="0.2">
      <c r="A190" s="545"/>
      <c r="B190" s="545"/>
      <c r="C190" s="545"/>
      <c r="D190" s="545"/>
      <c r="E190" s="545"/>
      <c r="F190" s="545"/>
      <c r="G190" s="545"/>
      <c r="H190" s="545"/>
    </row>
    <row r="191" spans="1:8" ht="11.25" customHeight="1" x14ac:dyDescent="0.2">
      <c r="A191" s="545"/>
      <c r="B191" s="545"/>
      <c r="C191" s="545"/>
      <c r="D191" s="545"/>
      <c r="E191" s="545"/>
      <c r="F191" s="545"/>
      <c r="G191" s="545"/>
      <c r="H191" s="545"/>
    </row>
    <row r="192" spans="1:8" ht="11.25" customHeight="1" x14ac:dyDescent="0.2">
      <c r="A192" s="546"/>
      <c r="B192" s="545"/>
      <c r="C192" s="545"/>
      <c r="D192" s="545"/>
      <c r="E192" s="545"/>
      <c r="F192" s="545"/>
      <c r="G192" s="545"/>
      <c r="H192" s="545"/>
    </row>
    <row r="193" spans="1:6" ht="11.25" customHeight="1" x14ac:dyDescent="0.2">
      <c r="A193" s="886" t="s">
        <v>1024</v>
      </c>
      <c r="B193" s="505"/>
      <c r="C193" s="505"/>
      <c r="D193" s="1046" t="s">
        <v>1026</v>
      </c>
      <c r="E193" s="1046"/>
      <c r="F193" s="1046"/>
    </row>
    <row r="194" spans="1:6" ht="11.25" customHeight="1" x14ac:dyDescent="0.2">
      <c r="A194" s="887" t="s">
        <v>1025</v>
      </c>
      <c r="B194" s="505"/>
      <c r="C194" s="505"/>
      <c r="D194" s="1046" t="s">
        <v>1027</v>
      </c>
      <c r="E194" s="1046"/>
      <c r="F194" s="1046"/>
    </row>
    <row r="195" spans="1:6" ht="11.25" customHeight="1" x14ac:dyDescent="0.2">
      <c r="A195" s="525"/>
      <c r="B195" s="90"/>
      <c r="C195" s="503"/>
      <c r="D195" s="1031" t="s">
        <v>1040</v>
      </c>
      <c r="E195" s="1031"/>
      <c r="F195" s="1031"/>
    </row>
    <row r="196" spans="1:6" ht="11.25" customHeight="1" x14ac:dyDescent="0.2">
      <c r="B196" s="888"/>
      <c r="C196" s="888"/>
      <c r="D196" s="888"/>
      <c r="F196" s="889"/>
    </row>
    <row r="197" spans="1:6" ht="11.25" customHeight="1" x14ac:dyDescent="0.2">
      <c r="B197" s="888"/>
      <c r="C197" s="888"/>
      <c r="D197" s="888"/>
      <c r="F197" s="889"/>
    </row>
    <row r="198" spans="1:6" ht="11.25" customHeight="1" x14ac:dyDescent="0.2">
      <c r="B198" s="890"/>
    </row>
    <row r="200" spans="1:6" ht="11.25" customHeight="1" x14ac:dyDescent="0.2">
      <c r="A200" s="525" t="s">
        <v>1042</v>
      </c>
      <c r="B200" s="90"/>
      <c r="C200" s="90"/>
      <c r="D200" s="1031" t="s">
        <v>1028</v>
      </c>
      <c r="E200" s="1031"/>
      <c r="F200" s="1031"/>
    </row>
    <row r="201" spans="1:6" ht="11.25" customHeight="1" x14ac:dyDescent="0.2">
      <c r="A201" s="887" t="s">
        <v>1043</v>
      </c>
      <c r="B201" s="90"/>
      <c r="C201" s="90"/>
      <c r="D201" s="887" t="s">
        <v>1029</v>
      </c>
      <c r="E201" s="887"/>
      <c r="F201" s="887"/>
    </row>
    <row r="202" spans="1:6" ht="11.25" customHeight="1" x14ac:dyDescent="0.2">
      <c r="A202" s="90"/>
      <c r="B202" s="90"/>
      <c r="C202" s="90"/>
      <c r="D202" s="1032" t="s">
        <v>1041</v>
      </c>
      <c r="E202" s="1032"/>
      <c r="F202" s="1032"/>
    </row>
  </sheetData>
  <mergeCells count="22">
    <mergeCell ref="D194:F194"/>
    <mergeCell ref="D18:E18"/>
    <mergeCell ref="A181:H181"/>
    <mergeCell ref="D149:E149"/>
    <mergeCell ref="F149:G149"/>
    <mergeCell ref="D193:F193"/>
    <mergeCell ref="D195:F195"/>
    <mergeCell ref="D200:F200"/>
    <mergeCell ref="D202:F202"/>
    <mergeCell ref="A11:F11"/>
    <mergeCell ref="A13:F13"/>
    <mergeCell ref="A14:F14"/>
    <mergeCell ref="A148:H148"/>
    <mergeCell ref="A17:E17"/>
    <mergeCell ref="A115:A117"/>
    <mergeCell ref="D115:E115"/>
    <mergeCell ref="D48:E48"/>
    <mergeCell ref="D85:E85"/>
    <mergeCell ref="F85:G85"/>
    <mergeCell ref="A85:A87"/>
    <mergeCell ref="F115:G115"/>
    <mergeCell ref="A66:E66"/>
  </mergeCells>
  <printOptions horizontalCentered="1"/>
  <pageMargins left="0.78740157480314965" right="0.59055118110236227" top="0.59055118110236227" bottom="0.39370078740157483" header="0.51181102362204722" footer="0.51181102362204722"/>
  <pageSetup paperSize="9"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J44"/>
  <sheetViews>
    <sheetView showGridLines="0" zoomScaleNormal="100" workbookViewId="0"/>
  </sheetViews>
  <sheetFormatPr defaultColWidth="6.7109375" defaultRowHeight="11.25" customHeight="1" x14ac:dyDescent="0.2"/>
  <cols>
    <col min="1" max="1" width="52" style="89" customWidth="1"/>
    <col min="2" max="2" width="22.5703125" style="89" bestFit="1" customWidth="1"/>
    <col min="3" max="3" width="22" style="89" bestFit="1" customWidth="1"/>
    <col min="4" max="4" width="23" style="89" bestFit="1" customWidth="1"/>
    <col min="5" max="5" width="21.7109375" style="89" bestFit="1" customWidth="1"/>
    <col min="6" max="6" width="23.42578125" style="89" bestFit="1" customWidth="1"/>
    <col min="7" max="7" width="8.7109375" style="90" customWidth="1"/>
    <col min="8" max="8" width="8.7109375" style="89" customWidth="1"/>
    <col min="9" max="9" width="14" style="89" customWidth="1"/>
    <col min="10" max="10" width="24.140625" style="89" customWidth="1"/>
    <col min="11" max="16384" width="6.7109375" style="89"/>
  </cols>
  <sheetData>
    <row r="1" spans="1:10" ht="12.75" x14ac:dyDescent="0.2"/>
    <row r="2" spans="1:10" ht="25.5" customHeight="1" x14ac:dyDescent="0.35">
      <c r="A2" s="856" t="s">
        <v>1019</v>
      </c>
    </row>
    <row r="3" spans="1:10" ht="15.75" customHeight="1" x14ac:dyDescent="0.25">
      <c r="A3" s="119" t="s">
        <v>1020</v>
      </c>
    </row>
    <row r="4" spans="1:10" ht="15.75" customHeight="1" x14ac:dyDescent="0.25">
      <c r="A4" s="119" t="s">
        <v>1021</v>
      </c>
    </row>
    <row r="5" spans="1:10" ht="15.75" customHeight="1" x14ac:dyDescent="0.25">
      <c r="A5" s="119" t="s">
        <v>1022</v>
      </c>
    </row>
    <row r="6" spans="1:10" ht="15.75" x14ac:dyDescent="0.2">
      <c r="A6" s="456" t="s">
        <v>364</v>
      </c>
      <c r="B6" s="456"/>
      <c r="C6" s="456"/>
      <c r="D6" s="456"/>
      <c r="E6" s="456"/>
      <c r="F6" s="456"/>
      <c r="G6" s="450"/>
      <c r="H6" s="450"/>
      <c r="I6" s="450"/>
      <c r="J6" s="450"/>
    </row>
    <row r="7" spans="1:10" ht="12.75" x14ac:dyDescent="0.2">
      <c r="A7" s="140"/>
      <c r="B7" s="140"/>
      <c r="C7" s="140"/>
      <c r="D7" s="140"/>
      <c r="E7" s="140"/>
      <c r="F7" s="140"/>
      <c r="G7" s="140"/>
      <c r="H7" s="140"/>
      <c r="I7" s="140"/>
      <c r="J7" s="140"/>
    </row>
    <row r="8" spans="1:10" s="96" customFormat="1" ht="15.75" customHeight="1" x14ac:dyDescent="0.25">
      <c r="A8" s="857" t="s">
        <v>1019</v>
      </c>
      <c r="B8" s="451"/>
      <c r="C8" s="451"/>
      <c r="D8" s="451"/>
      <c r="E8" s="451"/>
      <c r="F8" s="451"/>
      <c r="G8" s="451"/>
      <c r="H8" s="451"/>
      <c r="I8" s="451"/>
      <c r="J8" s="451"/>
    </row>
    <row r="9" spans="1:10" ht="12.75" x14ac:dyDescent="0.2">
      <c r="A9" s="451" t="s">
        <v>74</v>
      </c>
      <c r="B9" s="451"/>
      <c r="C9" s="451"/>
      <c r="D9" s="451"/>
      <c r="E9" s="451"/>
      <c r="F9" s="451"/>
      <c r="G9" s="451"/>
      <c r="H9" s="451"/>
      <c r="I9" s="451"/>
      <c r="J9" s="451"/>
    </row>
    <row r="10" spans="1:10" ht="25.5" x14ac:dyDescent="0.2">
      <c r="A10" s="452" t="s">
        <v>203</v>
      </c>
      <c r="B10" s="452"/>
      <c r="C10" s="452"/>
      <c r="D10" s="452"/>
      <c r="E10" s="452"/>
      <c r="F10" s="452"/>
      <c r="G10" s="452"/>
      <c r="H10" s="452"/>
      <c r="I10" s="452"/>
      <c r="J10" s="452"/>
    </row>
    <row r="11" spans="1:10" ht="12.75" x14ac:dyDescent="0.2">
      <c r="A11" s="1063" t="s">
        <v>76</v>
      </c>
      <c r="B11" s="1063"/>
      <c r="C11" s="1063"/>
      <c r="D11" s="1063"/>
      <c r="E11" s="1063"/>
      <c r="F11" s="1063"/>
      <c r="G11" s="1063"/>
      <c r="H11" s="1063"/>
      <c r="I11" s="1063"/>
      <c r="J11" s="1063"/>
    </row>
    <row r="12" spans="1:10" ht="12.75" customHeight="1" x14ac:dyDescent="0.2">
      <c r="A12" s="858" t="s">
        <v>1023</v>
      </c>
      <c r="B12" s="767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436"/>
      <c r="D12" s="436"/>
      <c r="E12" s="436"/>
      <c r="F12" s="436"/>
      <c r="G12" s="436"/>
      <c r="H12" s="436"/>
      <c r="I12" s="436"/>
      <c r="J12" s="436"/>
    </row>
    <row r="13" spans="1:10" ht="12.75" hidden="1" x14ac:dyDescent="0.2">
      <c r="A13" s="1063"/>
      <c r="B13" s="1063"/>
      <c r="C13" s="1063"/>
      <c r="D13" s="1063"/>
      <c r="E13" s="1063"/>
      <c r="F13" s="1063"/>
      <c r="G13" s="1063"/>
      <c r="H13" s="1063"/>
      <c r="I13" s="1063"/>
      <c r="J13" s="1063"/>
    </row>
    <row r="14" spans="1:10" ht="12.75" hidden="1" x14ac:dyDescent="0.2">
      <c r="A14" s="1063"/>
      <c r="B14" s="1063"/>
      <c r="C14" s="1063"/>
      <c r="D14" s="1063"/>
      <c r="E14" s="1063"/>
      <c r="F14" s="1063"/>
      <c r="G14" s="1063"/>
      <c r="H14" s="1063"/>
      <c r="I14" s="1063"/>
      <c r="J14" s="1063"/>
    </row>
    <row r="15" spans="1:10" ht="12.75" x14ac:dyDescent="0.2">
      <c r="A15" s="98"/>
      <c r="B15" s="1065"/>
      <c r="C15" s="1065"/>
      <c r="D15" s="98"/>
      <c r="E15" s="98"/>
      <c r="F15" s="1065"/>
      <c r="G15" s="1065"/>
      <c r="H15" s="1065"/>
      <c r="I15" s="1065"/>
      <c r="J15" s="98"/>
    </row>
    <row r="16" spans="1:10" ht="12.75" x14ac:dyDescent="0.2">
      <c r="A16" s="118" t="s">
        <v>365</v>
      </c>
      <c r="B16" s="140"/>
      <c r="C16" s="140"/>
      <c r="D16" s="141" t="s">
        <v>417</v>
      </c>
      <c r="E16" s="97"/>
      <c r="G16" s="89"/>
    </row>
    <row r="17" spans="1:9" ht="14.25" customHeight="1" x14ac:dyDescent="0.2">
      <c r="A17" s="1066" t="s">
        <v>79</v>
      </c>
      <c r="B17" s="294" t="s">
        <v>207</v>
      </c>
      <c r="C17" s="305" t="s">
        <v>78</v>
      </c>
      <c r="D17" s="306" t="s">
        <v>669</v>
      </c>
      <c r="E17" s="1064"/>
      <c r="G17" s="89"/>
    </row>
    <row r="18" spans="1:9" s="90" customFormat="1" ht="12.75" customHeight="1" x14ac:dyDescent="0.2">
      <c r="A18" s="1066"/>
      <c r="B18" s="207" t="s">
        <v>85</v>
      </c>
      <c r="C18" s="296" t="s">
        <v>86</v>
      </c>
      <c r="D18" s="307" t="s">
        <v>343</v>
      </c>
      <c r="E18" s="1064"/>
    </row>
    <row r="19" spans="1:9" ht="15.75" x14ac:dyDescent="0.2">
      <c r="A19" s="142" t="s">
        <v>670</v>
      </c>
      <c r="B19" s="712">
        <v>15282108.76</v>
      </c>
      <c r="C19" s="711">
        <v>448485.81</v>
      </c>
      <c r="D19" s="732">
        <f>B19-C19</f>
        <v>14833622.949999999</v>
      </c>
      <c r="E19" s="90"/>
      <c r="F19" s="90"/>
      <c r="H19" s="90"/>
    </row>
    <row r="20" spans="1:9" ht="12.75" x14ac:dyDescent="0.2">
      <c r="A20" s="140"/>
      <c r="B20" s="140"/>
      <c r="C20" s="140"/>
      <c r="D20" s="140"/>
      <c r="E20" s="140"/>
      <c r="F20" s="140"/>
      <c r="G20" s="140"/>
      <c r="H20" s="140"/>
      <c r="I20" s="97"/>
    </row>
    <row r="21" spans="1:9" ht="12.75" customHeight="1" x14ac:dyDescent="0.2">
      <c r="A21" s="206"/>
      <c r="B21" s="292" t="s">
        <v>528</v>
      </c>
      <c r="C21" s="292" t="s">
        <v>529</v>
      </c>
      <c r="D21" s="292" t="s">
        <v>366</v>
      </c>
      <c r="G21" s="89"/>
    </row>
    <row r="22" spans="1:9" ht="12.75" x14ac:dyDescent="0.2">
      <c r="A22" s="144" t="s">
        <v>112</v>
      </c>
      <c r="B22" s="293" t="s">
        <v>81</v>
      </c>
      <c r="C22" s="293" t="s">
        <v>530</v>
      </c>
      <c r="D22" s="293"/>
      <c r="G22" s="89"/>
    </row>
    <row r="23" spans="1:9" ht="12.75" x14ac:dyDescent="0.2">
      <c r="A23" s="143"/>
      <c r="B23" s="295" t="s">
        <v>114</v>
      </c>
      <c r="C23" s="296" t="s">
        <v>115</v>
      </c>
      <c r="D23" s="295" t="s">
        <v>531</v>
      </c>
      <c r="G23" s="89"/>
    </row>
    <row r="24" spans="1:9" ht="12.75" x14ac:dyDescent="0.2">
      <c r="A24" s="142" t="s">
        <v>119</v>
      </c>
      <c r="B24" s="576">
        <f>B25+B26+B27</f>
        <v>199102359.76999998</v>
      </c>
      <c r="C24" s="730">
        <f>C25+C26+C27</f>
        <v>149883126.35999998</v>
      </c>
      <c r="D24" s="576">
        <f t="shared" ref="D24:D29" si="0">B24-C24</f>
        <v>49219233.409999996</v>
      </c>
      <c r="G24" s="89"/>
    </row>
    <row r="25" spans="1:9" ht="12.75" x14ac:dyDescent="0.2">
      <c r="A25" s="142" t="s">
        <v>209</v>
      </c>
      <c r="B25" s="576">
        <v>189033759.66999999</v>
      </c>
      <c r="C25" s="730">
        <v>142537906.22</v>
      </c>
      <c r="D25" s="576">
        <f t="shared" si="0"/>
        <v>46495853.449999988</v>
      </c>
      <c r="G25" s="89"/>
    </row>
    <row r="26" spans="1:9" ht="12.75" x14ac:dyDescent="0.2">
      <c r="A26" s="142" t="s">
        <v>210</v>
      </c>
      <c r="B26" s="576"/>
      <c r="C26" s="730"/>
      <c r="D26" s="576">
        <f t="shared" si="0"/>
        <v>0</v>
      </c>
      <c r="G26" s="89"/>
    </row>
    <row r="27" spans="1:9" ht="12.75" x14ac:dyDescent="0.2">
      <c r="A27" s="142" t="s">
        <v>211</v>
      </c>
      <c r="B27" s="576">
        <v>10068600.1</v>
      </c>
      <c r="C27" s="730">
        <v>7345220.1399999997</v>
      </c>
      <c r="D27" s="576">
        <f t="shared" si="0"/>
        <v>2723379.96</v>
      </c>
      <c r="G27" s="89"/>
    </row>
    <row r="28" spans="1:9" ht="12.75" x14ac:dyDescent="0.2">
      <c r="A28" s="142" t="s">
        <v>345</v>
      </c>
      <c r="B28" s="576"/>
      <c r="C28" s="730"/>
      <c r="D28" s="576">
        <f t="shared" si="0"/>
        <v>0</v>
      </c>
      <c r="G28" s="89"/>
    </row>
    <row r="29" spans="1:9" ht="12" customHeight="1" x14ac:dyDescent="0.2">
      <c r="A29" s="142" t="s">
        <v>954</v>
      </c>
      <c r="B29" s="731"/>
      <c r="C29" s="730"/>
      <c r="D29" s="576">
        <f t="shared" si="0"/>
        <v>0</v>
      </c>
      <c r="G29" s="89"/>
    </row>
    <row r="30" spans="1:9" ht="12.75" x14ac:dyDescent="0.2">
      <c r="A30" s="142" t="s">
        <v>204</v>
      </c>
      <c r="B30" s="576">
        <f>B24-B28-B29</f>
        <v>199102359.76999998</v>
      </c>
      <c r="C30" s="576">
        <f>C24-C28-C29</f>
        <v>149883126.35999998</v>
      </c>
      <c r="D30" s="576">
        <f>D24-D28-D29</f>
        <v>49219233.409999996</v>
      </c>
      <c r="G30" s="89"/>
    </row>
    <row r="31" spans="1:9" ht="12.75" x14ac:dyDescent="0.2">
      <c r="A31" s="145" t="s">
        <v>346</v>
      </c>
      <c r="B31" s="859">
        <f>B19-B30</f>
        <v>-183820251.00999999</v>
      </c>
      <c r="C31" s="859">
        <f>C19-C30</f>
        <v>-149434640.54999998</v>
      </c>
      <c r="D31" s="860">
        <f>D30-D19</f>
        <v>34385610.459999993</v>
      </c>
      <c r="G31" s="89"/>
    </row>
    <row r="32" spans="1:9" ht="12.75" x14ac:dyDescent="0.2">
      <c r="A32" s="146" t="s">
        <v>347</v>
      </c>
      <c r="B32" s="442"/>
      <c r="C32" s="442"/>
      <c r="D32" s="443"/>
      <c r="E32" s="621"/>
      <c r="F32" s="90"/>
      <c r="G32" s="89"/>
    </row>
    <row r="33" spans="1:10" ht="12.75" customHeight="1" x14ac:dyDescent="0.2">
      <c r="A33" s="1058" t="s">
        <v>1035</v>
      </c>
      <c r="B33" s="1059"/>
      <c r="C33" s="1059"/>
      <c r="D33" s="1059"/>
      <c r="E33" s="1060"/>
      <c r="F33" s="1060"/>
      <c r="G33" s="118"/>
      <c r="H33" s="118"/>
      <c r="I33" s="118"/>
      <c r="J33" s="118"/>
    </row>
    <row r="34" spans="1:10" ht="12.75" x14ac:dyDescent="0.2">
      <c r="A34" s="1061" t="s">
        <v>348</v>
      </c>
      <c r="B34" s="1061"/>
      <c r="C34" s="1061"/>
      <c r="D34" s="1061"/>
      <c r="E34" s="1061"/>
      <c r="F34" s="1061"/>
      <c r="G34" s="436"/>
      <c r="H34" s="436"/>
      <c r="I34" s="436"/>
      <c r="J34" s="436"/>
    </row>
    <row r="35" spans="1:10" ht="15.75" customHeight="1" x14ac:dyDescent="0.2">
      <c r="A35" s="1062" t="s">
        <v>671</v>
      </c>
      <c r="B35" s="1062"/>
      <c r="C35" s="1062"/>
      <c r="D35" s="1062"/>
      <c r="E35" s="1062"/>
      <c r="F35" s="1062"/>
      <c r="G35" s="437"/>
      <c r="H35" s="437"/>
      <c r="I35" s="437"/>
      <c r="J35" s="437"/>
    </row>
    <row r="36" spans="1:10" ht="15.75" x14ac:dyDescent="0.2">
      <c r="A36" s="437"/>
      <c r="B36" s="437"/>
      <c r="C36" s="437"/>
      <c r="D36" s="437"/>
      <c r="E36" s="437"/>
      <c r="F36" s="437"/>
      <c r="G36" s="437"/>
      <c r="H36" s="437"/>
      <c r="I36" s="437"/>
      <c r="J36" s="437"/>
    </row>
    <row r="37" spans="1:10" ht="12.75" x14ac:dyDescent="0.2">
      <c r="A37" s="436"/>
      <c r="B37" s="436"/>
      <c r="C37" s="436"/>
      <c r="D37" s="436"/>
      <c r="E37" s="436"/>
      <c r="F37" s="436"/>
      <c r="G37" s="436"/>
      <c r="H37" s="436"/>
      <c r="I37" s="436"/>
      <c r="J37" s="436"/>
    </row>
    <row r="38" spans="1:10" ht="12.75" x14ac:dyDescent="0.2">
      <c r="A38" s="1053"/>
      <c r="B38" s="1053"/>
      <c r="C38" s="1051"/>
      <c r="D38" s="1051"/>
      <c r="E38" s="1050"/>
      <c r="F38" s="1050"/>
    </row>
    <row r="39" spans="1:10" ht="11.25" customHeight="1" x14ac:dyDescent="0.2">
      <c r="A39" s="1050"/>
      <c r="B39" s="1050"/>
      <c r="C39" s="1051"/>
      <c r="D39" s="1051"/>
      <c r="E39" s="1050"/>
      <c r="F39" s="1050"/>
    </row>
    <row r="40" spans="1:10" ht="12.75" x14ac:dyDescent="0.2">
      <c r="C40" s="1052"/>
      <c r="D40" s="1052"/>
      <c r="E40" s="1032"/>
      <c r="F40" s="1032"/>
      <c r="G40" s="1032"/>
    </row>
    <row r="41" spans="1:10" ht="12.75" x14ac:dyDescent="0.2">
      <c r="A41" s="1053"/>
      <c r="B41" s="1054"/>
      <c r="C41" s="1051"/>
      <c r="D41" s="1055"/>
      <c r="E41" s="1056"/>
      <c r="F41" s="1057"/>
    </row>
    <row r="42" spans="1:10" ht="12.75" x14ac:dyDescent="0.2">
      <c r="A42" s="1053" t="s">
        <v>1024</v>
      </c>
      <c r="B42" s="1053"/>
      <c r="C42" s="1051" t="s">
        <v>1026</v>
      </c>
      <c r="D42" s="1051"/>
      <c r="E42" s="1050" t="s">
        <v>1028</v>
      </c>
      <c r="F42" s="1050"/>
    </row>
    <row r="43" spans="1:10" ht="11.25" customHeight="1" x14ac:dyDescent="0.2">
      <c r="A43" s="1050" t="s">
        <v>1025</v>
      </c>
      <c r="B43" s="1050"/>
      <c r="C43" s="1051" t="s">
        <v>1027</v>
      </c>
      <c r="D43" s="1051"/>
      <c r="E43" s="1050" t="s">
        <v>1029</v>
      </c>
      <c r="F43" s="1050"/>
    </row>
    <row r="44" spans="1:10" ht="12.75" x14ac:dyDescent="0.2">
      <c r="C44" s="1052" t="s">
        <v>1044</v>
      </c>
      <c r="D44" s="1052"/>
      <c r="E44" s="1032" t="s">
        <v>1041</v>
      </c>
      <c r="F44" s="1032"/>
      <c r="G44" s="1032"/>
    </row>
  </sheetData>
  <mergeCells count="29">
    <mergeCell ref="A11:J11"/>
    <mergeCell ref="A13:J13"/>
    <mergeCell ref="A14:J14"/>
    <mergeCell ref="E17:E18"/>
    <mergeCell ref="B15:C15"/>
    <mergeCell ref="F15:I15"/>
    <mergeCell ref="A17:A18"/>
    <mergeCell ref="A33:F33"/>
    <mergeCell ref="A34:F34"/>
    <mergeCell ref="A35:F35"/>
    <mergeCell ref="A38:B38"/>
    <mergeCell ref="C38:D38"/>
    <mergeCell ref="E38:F38"/>
    <mergeCell ref="A41:B41"/>
    <mergeCell ref="A42:B42"/>
    <mergeCell ref="C41:D41"/>
    <mergeCell ref="C42:D42"/>
    <mergeCell ref="E41:F41"/>
    <mergeCell ref="E42:F42"/>
    <mergeCell ref="A39:B39"/>
    <mergeCell ref="C39:D39"/>
    <mergeCell ref="E39:F39"/>
    <mergeCell ref="C40:D40"/>
    <mergeCell ref="E40:G40"/>
    <mergeCell ref="A43:B43"/>
    <mergeCell ref="C43:D43"/>
    <mergeCell ref="E43:F43"/>
    <mergeCell ref="C44:D44"/>
    <mergeCell ref="E44:G44"/>
  </mergeCells>
  <printOptions horizontalCentered="1"/>
  <pageMargins left="0.59055118110236227" right="0.47244094488188981" top="0.59055118110236227" bottom="0.39370078740157483" header="0" footer="0.19685039370078741"/>
  <pageSetup paperSize="9" scale="61" orientation="landscape" r:id="rId1"/>
  <headerFooter alignWithMargins="0"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E191"/>
  <sheetViews>
    <sheetView showGridLines="0" topLeftCell="A50" zoomScale="85" zoomScaleNormal="85" workbookViewId="0">
      <selection activeCell="B21" sqref="B21:E95"/>
    </sheetView>
  </sheetViews>
  <sheetFormatPr defaultColWidth="7.85546875" defaultRowHeight="11.25" customHeight="1" x14ac:dyDescent="0.2"/>
  <cols>
    <col min="1" max="1" width="24.5703125" style="4" customWidth="1"/>
    <col min="2" max="5" width="26.28515625" style="4" customWidth="1"/>
    <col min="6" max="16384" width="7.85546875" style="4"/>
  </cols>
  <sheetData>
    <row r="1" spans="1:5" s="31" customFormat="1" ht="12.75" x14ac:dyDescent="0.2"/>
    <row r="2" spans="1:5" s="31" customFormat="1" ht="25.5" customHeight="1" x14ac:dyDescent="0.35">
      <c r="A2" s="847" t="s">
        <v>1019</v>
      </c>
    </row>
    <row r="3" spans="1:5" s="31" customFormat="1" ht="15.75" customHeight="1" x14ac:dyDescent="0.25">
      <c r="A3" s="84" t="s">
        <v>1020</v>
      </c>
    </row>
    <row r="4" spans="1:5" s="31" customFormat="1" ht="15.75" customHeight="1" x14ac:dyDescent="0.25">
      <c r="A4" s="84" t="s">
        <v>1021</v>
      </c>
    </row>
    <row r="5" spans="1:5" s="31" customFormat="1" ht="15.75" customHeight="1" x14ac:dyDescent="0.25">
      <c r="A5" s="84" t="s">
        <v>1022</v>
      </c>
    </row>
    <row r="6" spans="1:5" s="31" customFormat="1" ht="15.75" x14ac:dyDescent="0.25">
      <c r="A6" s="45" t="s">
        <v>369</v>
      </c>
      <c r="B6" s="12"/>
      <c r="C6" s="12"/>
      <c r="D6" s="4"/>
      <c r="E6" s="4"/>
    </row>
    <row r="7" spans="1:5" s="31" customFormat="1" ht="12.75" x14ac:dyDescent="0.2"/>
    <row r="8" spans="1:5" ht="12.75" x14ac:dyDescent="0.2">
      <c r="A8" s="17" t="s">
        <v>1019</v>
      </c>
      <c r="B8" s="218"/>
      <c r="C8" s="218"/>
      <c r="D8" s="218"/>
      <c r="E8" s="218"/>
    </row>
    <row r="9" spans="1:5" ht="12.75" x14ac:dyDescent="0.2">
      <c r="A9" s="218" t="s">
        <v>74</v>
      </c>
      <c r="B9" s="218"/>
      <c r="C9" s="218"/>
      <c r="D9" s="218"/>
      <c r="E9" s="218"/>
    </row>
    <row r="10" spans="1:5" ht="12.75" x14ac:dyDescent="0.2">
      <c r="A10" s="217" t="s">
        <v>103</v>
      </c>
      <c r="B10" s="217"/>
      <c r="C10" s="217"/>
      <c r="D10" s="217"/>
      <c r="E10" s="217"/>
    </row>
    <row r="11" spans="1:5" ht="12.75" x14ac:dyDescent="0.2">
      <c r="A11" s="920" t="s">
        <v>138</v>
      </c>
      <c r="B11" s="920"/>
      <c r="C11" s="920"/>
      <c r="D11" s="920"/>
      <c r="E11" s="920"/>
    </row>
    <row r="12" spans="1:5" ht="12.75" x14ac:dyDescent="0.2">
      <c r="A12" s="4" t="s">
        <v>1023</v>
      </c>
      <c r="B12" s="765"/>
      <c r="C12" s="31"/>
      <c r="D12" s="31"/>
      <c r="E12" s="31"/>
    </row>
    <row r="13" spans="1:5" ht="12.75" hidden="1" x14ac:dyDescent="0.2">
      <c r="A13" s="920"/>
      <c r="B13" s="920"/>
      <c r="C13" s="920"/>
      <c r="D13" s="920"/>
      <c r="E13" s="920"/>
    </row>
    <row r="14" spans="1:5" ht="12.75" hidden="1" x14ac:dyDescent="0.2">
      <c r="A14" s="920"/>
      <c r="B14" s="920"/>
      <c r="C14" s="920"/>
      <c r="D14" s="920"/>
      <c r="E14" s="920"/>
    </row>
    <row r="15" spans="1:5" ht="12.75" x14ac:dyDescent="0.2">
      <c r="A15" s="31"/>
      <c r="B15" s="31"/>
      <c r="C15" s="31"/>
      <c r="D15" s="31"/>
      <c r="E15" s="31"/>
    </row>
    <row r="16" spans="1:5" ht="12.75" x14ac:dyDescent="0.2">
      <c r="A16" s="31" t="s">
        <v>368</v>
      </c>
      <c r="B16" s="31"/>
      <c r="C16" s="31"/>
      <c r="D16" s="73"/>
      <c r="E16" s="332" t="s">
        <v>417</v>
      </c>
    </row>
    <row r="17" spans="1:5" ht="12.75" x14ac:dyDescent="0.2">
      <c r="A17" s="973" t="s">
        <v>928</v>
      </c>
      <c r="B17" s="1068"/>
      <c r="C17" s="1068"/>
      <c r="D17" s="1068"/>
      <c r="E17" s="974"/>
    </row>
    <row r="18" spans="1:5" ht="15" customHeight="1" x14ac:dyDescent="0.2">
      <c r="A18" s="229" t="s">
        <v>205</v>
      </c>
      <c r="B18" s="298" t="s">
        <v>272</v>
      </c>
      <c r="C18" s="298" t="s">
        <v>112</v>
      </c>
      <c r="D18" s="298" t="s">
        <v>274</v>
      </c>
      <c r="E18" s="225" t="s">
        <v>101</v>
      </c>
    </row>
    <row r="19" spans="1:5" ht="15" customHeight="1" x14ac:dyDescent="0.2">
      <c r="A19" s="308"/>
      <c r="B19" s="297" t="s">
        <v>273</v>
      </c>
      <c r="C19" s="297" t="s">
        <v>273</v>
      </c>
      <c r="D19" s="297" t="s">
        <v>275</v>
      </c>
      <c r="E19" s="226" t="s">
        <v>102</v>
      </c>
    </row>
    <row r="20" spans="1:5" ht="19.5" customHeight="1" x14ac:dyDescent="0.2">
      <c r="A20" s="308"/>
      <c r="B20" s="297" t="s">
        <v>85</v>
      </c>
      <c r="C20" s="297" t="s">
        <v>86</v>
      </c>
      <c r="D20" s="297" t="s">
        <v>276</v>
      </c>
      <c r="E20" s="769" t="s">
        <v>277</v>
      </c>
    </row>
    <row r="21" spans="1:5" ht="11.25" customHeight="1" x14ac:dyDescent="0.2">
      <c r="A21" s="772">
        <v>2018</v>
      </c>
      <c r="B21" s="771"/>
      <c r="C21" s="562"/>
      <c r="D21" s="312">
        <v>0</v>
      </c>
      <c r="E21" s="771">
        <v>1226782731.8499999</v>
      </c>
    </row>
    <row r="22" spans="1:5" ht="11.25" customHeight="1" x14ac:dyDescent="0.2">
      <c r="A22" s="773">
        <v>2019</v>
      </c>
      <c r="B22" s="375">
        <v>148685377.63999999</v>
      </c>
      <c r="C22" s="313">
        <v>63279342.5</v>
      </c>
      <c r="D22" s="314">
        <f>SUM(B22-C22)</f>
        <v>85406035.139999986</v>
      </c>
      <c r="E22" s="375">
        <f t="shared" ref="E22:E85" si="0">SUM(E21+D22)</f>
        <v>1312188766.9899998</v>
      </c>
    </row>
    <row r="23" spans="1:5" ht="11.25" customHeight="1" x14ac:dyDescent="0.2">
      <c r="A23" s="773">
        <v>2020</v>
      </c>
      <c r="B23" s="375">
        <v>152853607.28490001</v>
      </c>
      <c r="C23" s="313">
        <v>70291324.099999994</v>
      </c>
      <c r="D23" s="314">
        <f t="shared" ref="D23:D41" si="1">SUM(B23-C23)</f>
        <v>82562283.184900016</v>
      </c>
      <c r="E23" s="375">
        <f t="shared" si="0"/>
        <v>1394751050.1748998</v>
      </c>
    </row>
    <row r="24" spans="1:5" ht="11.25" customHeight="1" x14ac:dyDescent="0.2">
      <c r="A24" s="773">
        <v>2021</v>
      </c>
      <c r="B24" s="375">
        <v>156578267.34999999</v>
      </c>
      <c r="C24" s="313">
        <v>78387895.700000003</v>
      </c>
      <c r="D24" s="314">
        <f t="shared" si="1"/>
        <v>78190371.649999991</v>
      </c>
      <c r="E24" s="375">
        <f t="shared" si="0"/>
        <v>1472941421.8248999</v>
      </c>
    </row>
    <row r="25" spans="1:5" ht="11.25" customHeight="1" x14ac:dyDescent="0.2">
      <c r="A25" s="773">
        <v>2022</v>
      </c>
      <c r="B25" s="375">
        <v>160123868.61489999</v>
      </c>
      <c r="C25" s="313">
        <v>86425141.379999995</v>
      </c>
      <c r="D25" s="314">
        <f t="shared" si="1"/>
        <v>73698727.234899998</v>
      </c>
      <c r="E25" s="375">
        <f t="shared" si="0"/>
        <v>1546640149.0597999</v>
      </c>
    </row>
    <row r="26" spans="1:5" ht="11.25" customHeight="1" x14ac:dyDescent="0.2">
      <c r="A26" s="773">
        <v>2023</v>
      </c>
      <c r="B26" s="375">
        <v>163006638.11000001</v>
      </c>
      <c r="C26" s="313">
        <v>94793238.510000005</v>
      </c>
      <c r="D26" s="314">
        <f t="shared" si="1"/>
        <v>68213399.600000009</v>
      </c>
      <c r="E26" s="375">
        <f t="shared" si="0"/>
        <v>1614853548.6597998</v>
      </c>
    </row>
    <row r="27" spans="1:5" ht="11.25" customHeight="1" x14ac:dyDescent="0.2">
      <c r="A27" s="773">
        <v>2024</v>
      </c>
      <c r="B27" s="375">
        <v>165675298.81999999</v>
      </c>
      <c r="C27" s="313">
        <v>102433273.5</v>
      </c>
      <c r="D27" s="314">
        <f t="shared" si="1"/>
        <v>63242025.319999993</v>
      </c>
      <c r="E27" s="375">
        <f t="shared" si="0"/>
        <v>1678095573.9797997</v>
      </c>
    </row>
    <row r="28" spans="1:5" ht="11.25" customHeight="1" x14ac:dyDescent="0.2">
      <c r="A28" s="773">
        <v>2025</v>
      </c>
      <c r="B28" s="375">
        <v>167571150.28</v>
      </c>
      <c r="C28" s="313">
        <v>111393697.27</v>
      </c>
      <c r="D28" s="314">
        <f t="shared" si="1"/>
        <v>56177453.010000005</v>
      </c>
      <c r="E28" s="375">
        <f t="shared" si="0"/>
        <v>1734273026.9897997</v>
      </c>
    </row>
    <row r="29" spans="1:5" ht="11.25" customHeight="1" x14ac:dyDescent="0.2">
      <c r="A29" s="773">
        <v>2026</v>
      </c>
      <c r="B29" s="375">
        <v>168981029.13999999</v>
      </c>
      <c r="C29" s="313">
        <v>120761561.7349</v>
      </c>
      <c r="D29" s="314">
        <f t="shared" si="1"/>
        <v>48219467.405099988</v>
      </c>
      <c r="E29" s="375">
        <f t="shared" si="0"/>
        <v>1782492494.3948998</v>
      </c>
    </row>
    <row r="30" spans="1:5" ht="11.25" customHeight="1" x14ac:dyDescent="0.2">
      <c r="A30" s="773">
        <v>2027</v>
      </c>
      <c r="B30" s="375">
        <v>169538758.02000001</v>
      </c>
      <c r="C30" s="313">
        <v>130433187.26000001</v>
      </c>
      <c r="D30" s="314">
        <f t="shared" si="1"/>
        <v>39105570.760000005</v>
      </c>
      <c r="E30" s="375">
        <f t="shared" si="0"/>
        <v>1821598065.1548998</v>
      </c>
    </row>
    <row r="31" spans="1:5" ht="11.25" customHeight="1" x14ac:dyDescent="0.2">
      <c r="A31" s="773">
        <v>2028</v>
      </c>
      <c r="B31" s="375">
        <v>169689490.63</v>
      </c>
      <c r="C31" s="313">
        <v>140148061.50999999</v>
      </c>
      <c r="D31" s="314">
        <f t="shared" si="1"/>
        <v>29541429.120000005</v>
      </c>
      <c r="E31" s="375">
        <f t="shared" si="0"/>
        <v>1851139494.2749</v>
      </c>
    </row>
    <row r="32" spans="1:5" ht="11.25" customHeight="1" x14ac:dyDescent="0.2">
      <c r="A32" s="773">
        <v>2029</v>
      </c>
      <c r="B32" s="375">
        <v>168832554.19999999</v>
      </c>
      <c r="C32" s="313">
        <v>149649906.71000001</v>
      </c>
      <c r="D32" s="314">
        <f t="shared" si="1"/>
        <v>19182647.48999998</v>
      </c>
      <c r="E32" s="375">
        <f t="shared" si="0"/>
        <v>1870322141.7649</v>
      </c>
    </row>
    <row r="33" spans="1:5" ht="11.25" customHeight="1" x14ac:dyDescent="0.2">
      <c r="A33" s="773">
        <v>2030</v>
      </c>
      <c r="B33" s="375">
        <v>167985850.25</v>
      </c>
      <c r="C33" s="313">
        <v>155849884.16999999</v>
      </c>
      <c r="D33" s="314">
        <f t="shared" si="1"/>
        <v>12135966.080000013</v>
      </c>
      <c r="E33" s="375">
        <f t="shared" si="0"/>
        <v>1882458107.8448999</v>
      </c>
    </row>
    <row r="34" spans="1:5" ht="11.25" customHeight="1" x14ac:dyDescent="0.2">
      <c r="A34" s="773">
        <v>2031</v>
      </c>
      <c r="B34" s="375">
        <v>166252847.50999999</v>
      </c>
      <c r="C34" s="313">
        <v>162999779.66</v>
      </c>
      <c r="D34" s="314">
        <f t="shared" si="1"/>
        <v>3253067.849999994</v>
      </c>
      <c r="E34" s="375">
        <f t="shared" si="0"/>
        <v>1885711175.6948998</v>
      </c>
    </row>
    <row r="35" spans="1:5" ht="11.25" customHeight="1" x14ac:dyDescent="0.2">
      <c r="A35" s="773">
        <v>2032</v>
      </c>
      <c r="B35" s="375">
        <v>164103759.36000001</v>
      </c>
      <c r="C35" s="313">
        <v>168484374.97</v>
      </c>
      <c r="D35" s="314">
        <f t="shared" si="1"/>
        <v>-4380615.6099999845</v>
      </c>
      <c r="E35" s="375">
        <f t="shared" si="0"/>
        <v>1881330560.0848999</v>
      </c>
    </row>
    <row r="36" spans="1:5" ht="11.25" customHeight="1" x14ac:dyDescent="0.2">
      <c r="A36" s="773">
        <v>2033</v>
      </c>
      <c r="B36" s="375">
        <v>161782881.5</v>
      </c>
      <c r="C36" s="313">
        <v>171938210.93000001</v>
      </c>
      <c r="D36" s="314">
        <f t="shared" si="1"/>
        <v>-10155329.430000007</v>
      </c>
      <c r="E36" s="375">
        <f t="shared" si="0"/>
        <v>1871175230.6548998</v>
      </c>
    </row>
    <row r="37" spans="1:5" ht="11.25" customHeight="1" x14ac:dyDescent="0.2">
      <c r="A37" s="773">
        <v>2034</v>
      </c>
      <c r="B37" s="375">
        <v>159230894.49489999</v>
      </c>
      <c r="C37" s="313">
        <v>174735493.59</v>
      </c>
      <c r="D37" s="314">
        <f t="shared" si="1"/>
        <v>-15504599.095100015</v>
      </c>
      <c r="E37" s="375">
        <f t="shared" si="0"/>
        <v>1855670631.5597999</v>
      </c>
    </row>
    <row r="38" spans="1:5" ht="11.25" customHeight="1" x14ac:dyDescent="0.2">
      <c r="A38" s="773">
        <v>2035</v>
      </c>
      <c r="B38" s="375">
        <v>156157101.09999999</v>
      </c>
      <c r="C38" s="313">
        <v>177536269.55489999</v>
      </c>
      <c r="D38" s="314">
        <f t="shared" si="1"/>
        <v>-21379168.454899997</v>
      </c>
      <c r="E38" s="375">
        <f t="shared" si="0"/>
        <v>1834291463.1048999</v>
      </c>
    </row>
    <row r="39" spans="1:5" ht="11.25" customHeight="1" x14ac:dyDescent="0.2">
      <c r="A39" s="773">
        <v>2036</v>
      </c>
      <c r="B39" s="375">
        <v>152527117.06999999</v>
      </c>
      <c r="C39" s="313">
        <v>180226228.81</v>
      </c>
      <c r="D39" s="314">
        <f t="shared" si="1"/>
        <v>-27699111.74000001</v>
      </c>
      <c r="E39" s="375">
        <f t="shared" si="0"/>
        <v>1806592351.3648999</v>
      </c>
    </row>
    <row r="40" spans="1:5" ht="11.25" customHeight="1" x14ac:dyDescent="0.2">
      <c r="A40" s="773">
        <v>2037</v>
      </c>
      <c r="B40" s="375">
        <v>148639336.66</v>
      </c>
      <c r="C40" s="313">
        <v>182033993.87</v>
      </c>
      <c r="D40" s="314">
        <f t="shared" si="1"/>
        <v>-33394657.210000008</v>
      </c>
      <c r="E40" s="375">
        <f t="shared" si="0"/>
        <v>1773197694.1548998</v>
      </c>
    </row>
    <row r="41" spans="1:5" ht="11.25" customHeight="1" x14ac:dyDescent="0.2">
      <c r="A41" s="773">
        <v>2038</v>
      </c>
      <c r="B41" s="375">
        <v>144627673.75</v>
      </c>
      <c r="C41" s="313">
        <v>182996266.62</v>
      </c>
      <c r="D41" s="314">
        <f t="shared" si="1"/>
        <v>-38368592.870000005</v>
      </c>
      <c r="E41" s="375">
        <f t="shared" si="0"/>
        <v>1734829101.2848997</v>
      </c>
    </row>
    <row r="42" spans="1:5" ht="11.25" customHeight="1" x14ac:dyDescent="0.2">
      <c r="A42" s="773">
        <v>2039</v>
      </c>
      <c r="B42" s="375">
        <v>140156885.43489999</v>
      </c>
      <c r="C42" s="313">
        <v>183289813.88999999</v>
      </c>
      <c r="D42" s="314">
        <f>SUM(B42-C42)</f>
        <v>-43132928.4551</v>
      </c>
      <c r="E42" s="375">
        <f t="shared" si="0"/>
        <v>1691696172.8297997</v>
      </c>
    </row>
    <row r="43" spans="1:5" ht="11.25" customHeight="1" x14ac:dyDescent="0.2">
      <c r="A43" s="773">
        <v>2040</v>
      </c>
      <c r="B43" s="375">
        <v>135690470.71000001</v>
      </c>
      <c r="C43" s="313">
        <v>182158132.28490001</v>
      </c>
      <c r="D43" s="314">
        <f t="shared" ref="D43:D96" si="2">SUM(B43-C43)</f>
        <v>-46467661.574900001</v>
      </c>
      <c r="E43" s="375">
        <f t="shared" si="0"/>
        <v>1645228511.2548997</v>
      </c>
    </row>
    <row r="44" spans="1:5" ht="11.25" customHeight="1" x14ac:dyDescent="0.2">
      <c r="A44" s="773">
        <v>2041</v>
      </c>
      <c r="B44" s="375">
        <v>130850253.58</v>
      </c>
      <c r="C44" s="313">
        <v>180921142.55000001</v>
      </c>
      <c r="D44" s="314">
        <f t="shared" si="2"/>
        <v>-50070888.970000014</v>
      </c>
      <c r="E44" s="375">
        <f t="shared" si="0"/>
        <v>1595157622.2848997</v>
      </c>
    </row>
    <row r="45" spans="1:5" ht="11.25" customHeight="1" x14ac:dyDescent="0.2">
      <c r="A45" s="773">
        <v>2042</v>
      </c>
      <c r="B45" s="375">
        <v>125989601.23999999</v>
      </c>
      <c r="C45" s="313">
        <v>178648415.69999999</v>
      </c>
      <c r="D45" s="314">
        <f t="shared" si="2"/>
        <v>-52658814.459999993</v>
      </c>
      <c r="E45" s="375">
        <f t="shared" si="0"/>
        <v>1542498807.8248997</v>
      </c>
    </row>
    <row r="46" spans="1:5" ht="11.25" customHeight="1" x14ac:dyDescent="0.2">
      <c r="A46" s="773">
        <v>2043</v>
      </c>
      <c r="B46" s="375">
        <v>121025193.8249</v>
      </c>
      <c r="C46" s="313">
        <v>176094709.52000001</v>
      </c>
      <c r="D46" s="314">
        <f t="shared" si="2"/>
        <v>-55069515.695100009</v>
      </c>
      <c r="E46" s="375">
        <f t="shared" si="0"/>
        <v>1487429292.1297996</v>
      </c>
    </row>
    <row r="47" spans="1:5" ht="11.25" customHeight="1" x14ac:dyDescent="0.2">
      <c r="A47" s="773">
        <v>2044</v>
      </c>
      <c r="B47" s="375">
        <v>115722080.23</v>
      </c>
      <c r="C47" s="313">
        <v>173368469.02000001</v>
      </c>
      <c r="D47" s="314">
        <f t="shared" si="2"/>
        <v>-57646388.790000007</v>
      </c>
      <c r="E47" s="375">
        <f t="shared" si="0"/>
        <v>1429782903.3397996</v>
      </c>
    </row>
    <row r="48" spans="1:5" ht="11.25" customHeight="1" x14ac:dyDescent="0.2">
      <c r="A48" s="773">
        <v>2045</v>
      </c>
      <c r="B48" s="375">
        <v>110417457.12</v>
      </c>
      <c r="C48" s="313">
        <v>169855997.05000001</v>
      </c>
      <c r="D48" s="314">
        <f t="shared" si="2"/>
        <v>-59438539.930000007</v>
      </c>
      <c r="E48" s="375">
        <f t="shared" si="0"/>
        <v>1370344363.4097996</v>
      </c>
    </row>
    <row r="49" spans="1:5" ht="11.25" customHeight="1" x14ac:dyDescent="0.2">
      <c r="A49" s="773">
        <v>2046</v>
      </c>
      <c r="B49" s="375">
        <v>105215792.64</v>
      </c>
      <c r="C49" s="313">
        <v>165711714.81999999</v>
      </c>
      <c r="D49" s="314">
        <f t="shared" si="2"/>
        <v>-60495922.179999992</v>
      </c>
      <c r="E49" s="375">
        <f t="shared" si="0"/>
        <v>1309848441.2297995</v>
      </c>
    </row>
    <row r="50" spans="1:5" ht="11.25" customHeight="1" x14ac:dyDescent="0.2">
      <c r="A50" s="773">
        <v>2047</v>
      </c>
      <c r="B50" s="375">
        <v>99999062.459999993</v>
      </c>
      <c r="C50" s="313">
        <v>161181425.06</v>
      </c>
      <c r="D50" s="314">
        <f t="shared" si="2"/>
        <v>-61182362.600000009</v>
      </c>
      <c r="E50" s="375">
        <f t="shared" si="0"/>
        <v>1248666078.6297996</v>
      </c>
    </row>
    <row r="51" spans="1:5" ht="11.25" customHeight="1" x14ac:dyDescent="0.2">
      <c r="A51" s="773">
        <v>2048</v>
      </c>
      <c r="B51" s="375">
        <v>94716450.739999995</v>
      </c>
      <c r="C51" s="313">
        <v>156430295.30000001</v>
      </c>
      <c r="D51" s="314">
        <f t="shared" si="2"/>
        <v>-61713844.560000017</v>
      </c>
      <c r="E51" s="375">
        <f t="shared" si="0"/>
        <v>1186952234.0697997</v>
      </c>
    </row>
    <row r="52" spans="1:5" ht="11.25" customHeight="1" x14ac:dyDescent="0.2">
      <c r="A52" s="773">
        <v>2049</v>
      </c>
      <c r="B52" s="375">
        <v>89656714.930000007</v>
      </c>
      <c r="C52" s="313">
        <v>150936276.09</v>
      </c>
      <c r="D52" s="314">
        <f t="shared" si="2"/>
        <v>-61279561.159999996</v>
      </c>
      <c r="E52" s="375">
        <f t="shared" si="0"/>
        <v>1125672672.9097996</v>
      </c>
    </row>
    <row r="53" spans="1:5" ht="11.25" customHeight="1" x14ac:dyDescent="0.2">
      <c r="A53" s="773">
        <v>2050</v>
      </c>
      <c r="B53" s="375">
        <v>84663601.700000003</v>
      </c>
      <c r="C53" s="313">
        <v>145207963.46000001</v>
      </c>
      <c r="D53" s="314">
        <f t="shared" si="2"/>
        <v>-60544361.760000005</v>
      </c>
      <c r="E53" s="375">
        <f t="shared" si="0"/>
        <v>1065128311.1497996</v>
      </c>
    </row>
    <row r="54" spans="1:5" ht="11.25" customHeight="1" x14ac:dyDescent="0.2">
      <c r="A54" s="773">
        <v>2051</v>
      </c>
      <c r="B54" s="375">
        <v>79727871.049999997</v>
      </c>
      <c r="C54" s="313">
        <v>139320199.53</v>
      </c>
      <c r="D54" s="314">
        <f t="shared" si="2"/>
        <v>-59592328.480000004</v>
      </c>
      <c r="E54" s="375">
        <f t="shared" si="0"/>
        <v>1005535982.6697996</v>
      </c>
    </row>
    <row r="55" spans="1:5" ht="11.25" customHeight="1" x14ac:dyDescent="0.2">
      <c r="A55" s="773">
        <v>2052</v>
      </c>
      <c r="B55" s="375">
        <v>75041686.790000007</v>
      </c>
      <c r="C55" s="313">
        <v>132996479.59999999</v>
      </c>
      <c r="D55" s="314">
        <f t="shared" si="2"/>
        <v>-57954792.809999987</v>
      </c>
      <c r="E55" s="375">
        <f t="shared" si="0"/>
        <v>947581189.85979962</v>
      </c>
    </row>
    <row r="56" spans="1:5" ht="11.25" customHeight="1" x14ac:dyDescent="0.2">
      <c r="A56" s="773">
        <v>2053</v>
      </c>
      <c r="B56" s="375">
        <v>70528919.234899998</v>
      </c>
      <c r="C56" s="313">
        <v>126465344.48999999</v>
      </c>
      <c r="D56" s="314">
        <f t="shared" si="2"/>
        <v>-55936425.255099997</v>
      </c>
      <c r="E56" s="375">
        <f t="shared" si="0"/>
        <v>891644764.60469961</v>
      </c>
    </row>
    <row r="57" spans="1:5" ht="11.25" customHeight="1" x14ac:dyDescent="0.2">
      <c r="A57" s="773">
        <v>2054</v>
      </c>
      <c r="B57" s="375">
        <v>66115803.094899997</v>
      </c>
      <c r="C57" s="313">
        <v>119975394.78</v>
      </c>
      <c r="D57" s="314">
        <f t="shared" si="2"/>
        <v>-53859591.685100004</v>
      </c>
      <c r="E57" s="375">
        <f t="shared" si="0"/>
        <v>837785172.91959965</v>
      </c>
    </row>
    <row r="58" spans="1:5" ht="11.25" customHeight="1" x14ac:dyDescent="0.2">
      <c r="A58" s="773">
        <v>2055</v>
      </c>
      <c r="B58" s="375">
        <v>61982135.920000002</v>
      </c>
      <c r="C58" s="313">
        <v>113231775.9649</v>
      </c>
      <c r="D58" s="314">
        <f t="shared" si="2"/>
        <v>-51249640.0449</v>
      </c>
      <c r="E58" s="375">
        <f t="shared" si="0"/>
        <v>786535532.87469959</v>
      </c>
    </row>
    <row r="59" spans="1:5" ht="11.25" customHeight="1" x14ac:dyDescent="0.2">
      <c r="A59" s="773">
        <v>2056</v>
      </c>
      <c r="B59" s="375">
        <v>57975602.004900001</v>
      </c>
      <c r="C59" s="313">
        <v>106617917.45</v>
      </c>
      <c r="D59" s="314">
        <f t="shared" si="2"/>
        <v>-48642315.445100002</v>
      </c>
      <c r="E59" s="375">
        <f t="shared" si="0"/>
        <v>737893217.42959964</v>
      </c>
    </row>
    <row r="60" spans="1:5" ht="11.25" customHeight="1" x14ac:dyDescent="0.2">
      <c r="A60" s="773">
        <v>2057</v>
      </c>
      <c r="B60" s="375">
        <v>54197386.420000002</v>
      </c>
      <c r="C60" s="313">
        <v>99977607.434900001</v>
      </c>
      <c r="D60" s="314">
        <f t="shared" si="2"/>
        <v>-45780221.014899999</v>
      </c>
      <c r="E60" s="375">
        <f t="shared" si="0"/>
        <v>692112996.41469967</v>
      </c>
    </row>
    <row r="61" spans="1:5" ht="11.25" customHeight="1" x14ac:dyDescent="0.2">
      <c r="A61" s="773">
        <v>2058</v>
      </c>
      <c r="B61" s="375">
        <v>50658875.194899999</v>
      </c>
      <c r="C61" s="313">
        <v>93354842.724900007</v>
      </c>
      <c r="D61" s="314">
        <f t="shared" si="2"/>
        <v>-42695967.530000009</v>
      </c>
      <c r="E61" s="375">
        <f t="shared" si="0"/>
        <v>649417028.8846997</v>
      </c>
    </row>
    <row r="62" spans="1:5" ht="11.25" customHeight="1" x14ac:dyDescent="0.2">
      <c r="A62" s="773">
        <v>2059</v>
      </c>
      <c r="B62" s="375">
        <v>47328683.744900003</v>
      </c>
      <c r="C62" s="313">
        <v>86867306.049999997</v>
      </c>
      <c r="D62" s="314">
        <f t="shared" si="2"/>
        <v>-39538622.305099994</v>
      </c>
      <c r="E62" s="375">
        <f t="shared" si="0"/>
        <v>609878406.57959974</v>
      </c>
    </row>
    <row r="63" spans="1:5" ht="11.25" customHeight="1" x14ac:dyDescent="0.2">
      <c r="A63" s="773">
        <v>2060</v>
      </c>
      <c r="B63" s="375">
        <v>44270092.020000003</v>
      </c>
      <c r="C63" s="313">
        <v>80449601.180000007</v>
      </c>
      <c r="D63" s="314">
        <f t="shared" si="2"/>
        <v>-36179509.160000004</v>
      </c>
      <c r="E63" s="375">
        <f t="shared" si="0"/>
        <v>573698897.41959977</v>
      </c>
    </row>
    <row r="64" spans="1:5" ht="11.25" customHeight="1" x14ac:dyDescent="0.2">
      <c r="A64" s="773">
        <v>2061</v>
      </c>
      <c r="B64" s="375">
        <v>41439417.5</v>
      </c>
      <c r="C64" s="313">
        <v>74225720.994900003</v>
      </c>
      <c r="D64" s="314">
        <f t="shared" si="2"/>
        <v>-32786303.494900003</v>
      </c>
      <c r="E64" s="375">
        <f t="shared" si="0"/>
        <v>540912593.92469978</v>
      </c>
    </row>
    <row r="65" spans="1:5" ht="11.25" customHeight="1" x14ac:dyDescent="0.2">
      <c r="A65" s="773">
        <v>2062</v>
      </c>
      <c r="B65" s="375">
        <v>38841205.07</v>
      </c>
      <c r="C65" s="313">
        <v>68218137.909999996</v>
      </c>
      <c r="D65" s="314">
        <f t="shared" si="2"/>
        <v>-29376932.839999996</v>
      </c>
      <c r="E65" s="375">
        <f t="shared" si="0"/>
        <v>511535661.08469981</v>
      </c>
    </row>
    <row r="66" spans="1:5" ht="11.25" customHeight="1" x14ac:dyDescent="0.2">
      <c r="A66" s="773">
        <v>2063</v>
      </c>
      <c r="B66" s="375">
        <v>36478542.764899999</v>
      </c>
      <c r="C66" s="313">
        <v>62446942.579999998</v>
      </c>
      <c r="D66" s="314">
        <f t="shared" si="2"/>
        <v>-25968399.815099999</v>
      </c>
      <c r="E66" s="375">
        <f t="shared" si="0"/>
        <v>485567261.2695998</v>
      </c>
    </row>
    <row r="67" spans="1:5" ht="11.25" customHeight="1" x14ac:dyDescent="0.2">
      <c r="A67" s="773">
        <v>2064</v>
      </c>
      <c r="B67" s="375">
        <v>34352988.960000001</v>
      </c>
      <c r="C67" s="313">
        <v>56929304.1149</v>
      </c>
      <c r="D67" s="314">
        <f t="shared" si="2"/>
        <v>-22576315.154899999</v>
      </c>
      <c r="E67" s="375">
        <f t="shared" si="0"/>
        <v>462990946.11469978</v>
      </c>
    </row>
    <row r="68" spans="1:5" ht="11.25" customHeight="1" x14ac:dyDescent="0.2">
      <c r="A68" s="773">
        <v>2065</v>
      </c>
      <c r="B68" s="375">
        <v>32464680.23</v>
      </c>
      <c r="C68" s="313">
        <v>51679964.754900001</v>
      </c>
      <c r="D68" s="314">
        <f t="shared" si="2"/>
        <v>-19215284.524900001</v>
      </c>
      <c r="E68" s="375">
        <f t="shared" si="0"/>
        <v>443775661.58979976</v>
      </c>
    </row>
    <row r="69" spans="1:5" ht="11.25" customHeight="1" x14ac:dyDescent="0.2">
      <c r="A69" s="773">
        <v>2066</v>
      </c>
      <c r="B69" s="375">
        <v>30812476.879999999</v>
      </c>
      <c r="C69" s="313">
        <v>46711174.414899997</v>
      </c>
      <c r="D69" s="314">
        <f t="shared" si="2"/>
        <v>-15898697.534899998</v>
      </c>
      <c r="E69" s="375">
        <f t="shared" si="0"/>
        <v>427876964.05489975</v>
      </c>
    </row>
    <row r="70" spans="1:5" ht="11.25" customHeight="1" x14ac:dyDescent="0.2">
      <c r="A70" s="773">
        <v>2067</v>
      </c>
      <c r="B70" s="375">
        <v>29394104.3149</v>
      </c>
      <c r="C70" s="313">
        <v>42032217.560000002</v>
      </c>
      <c r="D70" s="314">
        <f t="shared" si="2"/>
        <v>-12638113.245100003</v>
      </c>
      <c r="E70" s="375">
        <f t="shared" si="0"/>
        <v>415238850.80979973</v>
      </c>
    </row>
    <row r="71" spans="1:5" ht="11.25" customHeight="1" x14ac:dyDescent="0.2">
      <c r="A71" s="773">
        <v>2068</v>
      </c>
      <c r="B71" s="375">
        <v>28206226.949999999</v>
      </c>
      <c r="C71" s="313">
        <v>37649225.424900003</v>
      </c>
      <c r="D71" s="314">
        <f t="shared" si="2"/>
        <v>-9442998.4749000035</v>
      </c>
      <c r="E71" s="375">
        <f t="shared" si="0"/>
        <v>405795852.33489972</v>
      </c>
    </row>
    <row r="72" spans="1:5" ht="11.25" customHeight="1" x14ac:dyDescent="0.2">
      <c r="A72" s="773">
        <v>2069</v>
      </c>
      <c r="B72" s="375">
        <v>27244537.170000002</v>
      </c>
      <c r="C72" s="313">
        <v>33565241.090000004</v>
      </c>
      <c r="D72" s="314">
        <f t="shared" si="2"/>
        <v>-6320703.9200000018</v>
      </c>
      <c r="E72" s="375">
        <f t="shared" si="0"/>
        <v>399475148.41489971</v>
      </c>
    </row>
    <row r="73" spans="1:5" ht="11.25" customHeight="1" x14ac:dyDescent="0.2">
      <c r="A73" s="773">
        <v>2070</v>
      </c>
      <c r="B73" s="375">
        <v>26503894.094900001</v>
      </c>
      <c r="C73" s="313">
        <v>29780088.649999999</v>
      </c>
      <c r="D73" s="314">
        <f t="shared" si="2"/>
        <v>-3276194.5550999977</v>
      </c>
      <c r="E73" s="375">
        <f t="shared" si="0"/>
        <v>396198953.85979968</v>
      </c>
    </row>
    <row r="74" spans="1:5" ht="11.25" customHeight="1" x14ac:dyDescent="0.2">
      <c r="A74" s="773">
        <v>2071</v>
      </c>
      <c r="B74" s="375">
        <v>25978515.210000001</v>
      </c>
      <c r="C74" s="313">
        <v>26290186.870000001</v>
      </c>
      <c r="D74" s="314">
        <f t="shared" si="2"/>
        <v>-311671.66000000015</v>
      </c>
      <c r="E74" s="375">
        <f t="shared" si="0"/>
        <v>395887282.19979966</v>
      </c>
    </row>
    <row r="75" spans="1:5" ht="11.25" customHeight="1" x14ac:dyDescent="0.2">
      <c r="A75" s="773">
        <v>2072</v>
      </c>
      <c r="B75" s="375">
        <v>25662235.434900001</v>
      </c>
      <c r="C75" s="313">
        <v>23088880.390000001</v>
      </c>
      <c r="D75" s="314">
        <f t="shared" si="2"/>
        <v>2573355.0449000001</v>
      </c>
      <c r="E75" s="375">
        <f t="shared" si="0"/>
        <v>398460637.24469966</v>
      </c>
    </row>
    <row r="76" spans="1:5" ht="11.25" customHeight="1" x14ac:dyDescent="0.2">
      <c r="A76" s="773">
        <v>2073</v>
      </c>
      <c r="B76" s="375">
        <v>25548819.5649</v>
      </c>
      <c r="C76" s="313">
        <v>20167363.649999999</v>
      </c>
      <c r="D76" s="314">
        <f t="shared" si="2"/>
        <v>5381455.9149000011</v>
      </c>
      <c r="E76" s="375">
        <f t="shared" si="0"/>
        <v>403842093.15959966</v>
      </c>
    </row>
    <row r="77" spans="1:5" ht="11.25" customHeight="1" x14ac:dyDescent="0.2">
      <c r="A77" s="773">
        <v>2074</v>
      </c>
      <c r="B77" s="375">
        <v>25632124.52</v>
      </c>
      <c r="C77" s="313">
        <v>17515117.399999999</v>
      </c>
      <c r="D77" s="314">
        <f t="shared" si="2"/>
        <v>8117007.120000001</v>
      </c>
      <c r="E77" s="375">
        <f t="shared" si="0"/>
        <v>411959100.27959967</v>
      </c>
    </row>
    <row r="78" spans="1:5" ht="11.25" customHeight="1" x14ac:dyDescent="0.2">
      <c r="A78" s="773">
        <v>2075</v>
      </c>
      <c r="B78" s="375">
        <v>25906162.800000001</v>
      </c>
      <c r="C78" s="313">
        <v>15120356.5349</v>
      </c>
      <c r="D78" s="314">
        <f t="shared" si="2"/>
        <v>10785806.2651</v>
      </c>
      <c r="E78" s="375">
        <f t="shared" si="0"/>
        <v>422744906.54469967</v>
      </c>
    </row>
    <row r="79" spans="1:5" ht="11.25" customHeight="1" x14ac:dyDescent="0.2">
      <c r="A79" s="773">
        <v>2076</v>
      </c>
      <c r="B79" s="375">
        <v>26365189.4749</v>
      </c>
      <c r="C79" s="313">
        <v>12970228.93</v>
      </c>
      <c r="D79" s="314">
        <f t="shared" si="2"/>
        <v>13394960.5449</v>
      </c>
      <c r="E79" s="375">
        <f t="shared" si="0"/>
        <v>436139867.08959967</v>
      </c>
    </row>
    <row r="80" spans="1:5" ht="11.25" customHeight="1" x14ac:dyDescent="0.2">
      <c r="A80" s="773">
        <v>2077</v>
      </c>
      <c r="B80" s="375">
        <v>27003833.219999999</v>
      </c>
      <c r="C80" s="313">
        <v>11051043.254899999</v>
      </c>
      <c r="D80" s="314">
        <f t="shared" si="2"/>
        <v>15952789.9651</v>
      </c>
      <c r="E80" s="375">
        <f t="shared" si="0"/>
        <v>452092657.05469966</v>
      </c>
    </row>
    <row r="81" spans="1:5" ht="11.25" customHeight="1" x14ac:dyDescent="0.2">
      <c r="A81" s="773">
        <v>2078</v>
      </c>
      <c r="B81" s="375">
        <v>27817192.010000002</v>
      </c>
      <c r="C81" s="313">
        <v>9348463.5</v>
      </c>
      <c r="D81" s="314">
        <f t="shared" si="2"/>
        <v>18468728.510000002</v>
      </c>
      <c r="E81" s="375">
        <f t="shared" si="0"/>
        <v>470561385.56469965</v>
      </c>
    </row>
    <row r="82" spans="1:5" ht="11.25" customHeight="1" x14ac:dyDescent="0.2">
      <c r="A82" s="773">
        <v>2079</v>
      </c>
      <c r="B82" s="375">
        <v>28800954.3849</v>
      </c>
      <c r="C82" s="313">
        <v>7848091.0800000001</v>
      </c>
      <c r="D82" s="314">
        <f t="shared" si="2"/>
        <v>20952863.304899998</v>
      </c>
      <c r="E82" s="375">
        <f t="shared" si="0"/>
        <v>491514248.86959964</v>
      </c>
    </row>
    <row r="83" spans="1:5" ht="11.25" customHeight="1" x14ac:dyDescent="0.2">
      <c r="A83" s="773">
        <v>2080</v>
      </c>
      <c r="B83" s="375">
        <v>29951493.940000001</v>
      </c>
      <c r="C83" s="313">
        <v>6535796.7800000003</v>
      </c>
      <c r="D83" s="314">
        <f t="shared" si="2"/>
        <v>23415697.16</v>
      </c>
      <c r="E83" s="375">
        <f t="shared" si="0"/>
        <v>514929946.02959967</v>
      </c>
    </row>
    <row r="84" spans="1:5" ht="11.25" customHeight="1" x14ac:dyDescent="0.2">
      <c r="A84" s="773">
        <v>2081</v>
      </c>
      <c r="B84" s="375">
        <v>31265865.719999999</v>
      </c>
      <c r="C84" s="313">
        <v>5397602.3200000003</v>
      </c>
      <c r="D84" s="314">
        <f t="shared" si="2"/>
        <v>25868263.399999999</v>
      </c>
      <c r="E84" s="375">
        <f t="shared" si="0"/>
        <v>540798209.42959964</v>
      </c>
    </row>
    <row r="85" spans="1:5" ht="11.25" customHeight="1" x14ac:dyDescent="0.2">
      <c r="A85" s="773">
        <v>2082</v>
      </c>
      <c r="B85" s="375">
        <v>32741812.780000001</v>
      </c>
      <c r="C85" s="313">
        <v>4419209.66</v>
      </c>
      <c r="D85" s="314">
        <f t="shared" si="2"/>
        <v>28322603.120000001</v>
      </c>
      <c r="E85" s="375">
        <f t="shared" si="0"/>
        <v>569120812.54959965</v>
      </c>
    </row>
    <row r="86" spans="1:5" ht="11.25" customHeight="1" x14ac:dyDescent="0.2">
      <c r="A86" s="773">
        <v>2083</v>
      </c>
      <c r="B86" s="375">
        <v>34377839.854900002</v>
      </c>
      <c r="C86" s="313">
        <v>3585575.82</v>
      </c>
      <c r="D86" s="314">
        <f t="shared" si="2"/>
        <v>30792264.034900002</v>
      </c>
      <c r="E86" s="375">
        <f t="shared" ref="E86:E96" si="3">SUM(E85+D86)</f>
        <v>599913076.5844996</v>
      </c>
    </row>
    <row r="87" spans="1:5" ht="11.25" customHeight="1" x14ac:dyDescent="0.2">
      <c r="A87" s="773">
        <v>2084</v>
      </c>
      <c r="B87" s="375">
        <v>36173308.244900003</v>
      </c>
      <c r="C87" s="313">
        <v>2881144.94</v>
      </c>
      <c r="D87" s="314">
        <f t="shared" si="2"/>
        <v>33292163.304900002</v>
      </c>
      <c r="E87" s="375">
        <f t="shared" si="3"/>
        <v>633205239.88939965</v>
      </c>
    </row>
    <row r="88" spans="1:5" ht="11.25" customHeight="1" x14ac:dyDescent="0.2">
      <c r="A88" s="773">
        <v>2085</v>
      </c>
      <c r="B88" s="375">
        <v>38128528.75</v>
      </c>
      <c r="C88" s="313">
        <v>2290721.5499999998</v>
      </c>
      <c r="D88" s="314">
        <f t="shared" si="2"/>
        <v>35837807.200000003</v>
      </c>
      <c r="E88" s="375">
        <f t="shared" si="3"/>
        <v>669043047.0893997</v>
      </c>
    </row>
    <row r="89" spans="1:5" ht="11.25" customHeight="1" x14ac:dyDescent="0.2">
      <c r="A89" s="773">
        <v>2086</v>
      </c>
      <c r="B89" s="375">
        <v>40244862.299999997</v>
      </c>
      <c r="C89" s="313">
        <v>1800220.4749</v>
      </c>
      <c r="D89" s="314">
        <f t="shared" si="2"/>
        <v>38444641.825099997</v>
      </c>
      <c r="E89" s="375">
        <f t="shared" si="3"/>
        <v>707487688.91449964</v>
      </c>
    </row>
    <row r="90" spans="1:5" ht="11.25" customHeight="1" x14ac:dyDescent="0.2">
      <c r="A90" s="773">
        <v>2087</v>
      </c>
      <c r="B90" s="375">
        <v>42524743.964900002</v>
      </c>
      <c r="C90" s="313">
        <v>1396964.02</v>
      </c>
      <c r="D90" s="314">
        <f t="shared" si="2"/>
        <v>41127779.944899999</v>
      </c>
      <c r="E90" s="375">
        <f t="shared" si="3"/>
        <v>748615468.85939968</v>
      </c>
    </row>
    <row r="91" spans="1:5" ht="11.25" customHeight="1" x14ac:dyDescent="0.2">
      <c r="A91" s="773">
        <v>2088</v>
      </c>
      <c r="B91" s="375">
        <v>44971618.689999998</v>
      </c>
      <c r="C91" s="313">
        <v>1069380.3600000001</v>
      </c>
      <c r="D91" s="314">
        <f t="shared" si="2"/>
        <v>43902238.329999998</v>
      </c>
      <c r="E91" s="375">
        <f t="shared" si="3"/>
        <v>792517707.18939972</v>
      </c>
    </row>
    <row r="92" spans="1:5" ht="11.25" customHeight="1" x14ac:dyDescent="0.2">
      <c r="A92" s="773">
        <v>2089</v>
      </c>
      <c r="B92" s="375">
        <v>47589898.810000002</v>
      </c>
      <c r="C92" s="313">
        <v>806555.31</v>
      </c>
      <c r="D92" s="314">
        <f t="shared" si="2"/>
        <v>46783343.5</v>
      </c>
      <c r="E92" s="375">
        <f t="shared" si="3"/>
        <v>839301050.68939972</v>
      </c>
    </row>
    <row r="93" spans="1:5" ht="11.25" customHeight="1" x14ac:dyDescent="0.2">
      <c r="A93" s="773">
        <v>2090</v>
      </c>
      <c r="B93" s="375">
        <v>50385034.670000002</v>
      </c>
      <c r="C93" s="313">
        <v>598393.38</v>
      </c>
      <c r="D93" s="314">
        <f t="shared" si="2"/>
        <v>49786641.289999999</v>
      </c>
      <c r="E93" s="375">
        <f t="shared" si="3"/>
        <v>889087691.97939968</v>
      </c>
    </row>
    <row r="94" spans="1:5" ht="11.25" customHeight="1" x14ac:dyDescent="0.2">
      <c r="A94" s="773">
        <v>2091</v>
      </c>
      <c r="B94" s="375">
        <v>53363545.329999998</v>
      </c>
      <c r="C94" s="313">
        <v>435824.84</v>
      </c>
      <c r="D94" s="314">
        <f t="shared" si="2"/>
        <v>52927720.489999995</v>
      </c>
      <c r="E94" s="375">
        <f t="shared" si="3"/>
        <v>942015412.46939969</v>
      </c>
    </row>
    <row r="95" spans="1:5" ht="11.25" customHeight="1" x14ac:dyDescent="0.2">
      <c r="A95" s="773">
        <v>2092</v>
      </c>
      <c r="B95" s="375">
        <v>56532990.170000002</v>
      </c>
      <c r="C95" s="313">
        <v>310734.82</v>
      </c>
      <c r="D95" s="314">
        <f t="shared" si="2"/>
        <v>56222255.350000001</v>
      </c>
      <c r="E95" s="375">
        <f t="shared" si="3"/>
        <v>998237667.81939971</v>
      </c>
    </row>
    <row r="96" spans="1:5" ht="11.25" customHeight="1" x14ac:dyDescent="0.2">
      <c r="A96" s="773">
        <v>2093</v>
      </c>
      <c r="B96" s="375">
        <v>59901971.950000003</v>
      </c>
      <c r="C96" s="313">
        <v>216055.13</v>
      </c>
      <c r="D96" s="314">
        <f t="shared" si="2"/>
        <v>59685916.82</v>
      </c>
      <c r="E96" s="375">
        <f t="shared" si="3"/>
        <v>1057923584.6393998</v>
      </c>
    </row>
    <row r="97" spans="1:5" ht="11.25" customHeight="1" x14ac:dyDescent="0.2">
      <c r="A97" s="774"/>
      <c r="B97" s="557"/>
      <c r="C97" s="563"/>
      <c r="D97" s="317"/>
      <c r="E97" s="557"/>
    </row>
    <row r="98" spans="1:5" ht="11.25" customHeight="1" x14ac:dyDescent="0.2">
      <c r="A98" s="1069" t="s">
        <v>416</v>
      </c>
      <c r="B98" s="1070"/>
      <c r="C98" s="1070"/>
      <c r="D98" s="1070"/>
      <c r="E98" s="1070"/>
    </row>
    <row r="99" spans="1:5" ht="11.25" customHeight="1" x14ac:dyDescent="0.2">
      <c r="A99" s="925" t="s">
        <v>740</v>
      </c>
      <c r="B99" s="925"/>
      <c r="C99" s="925"/>
      <c r="D99" s="925"/>
      <c r="E99" s="925"/>
    </row>
    <row r="100" spans="1:5" ht="11.25" customHeight="1" x14ac:dyDescent="0.2">
      <c r="A100" s="1067" t="s">
        <v>100</v>
      </c>
      <c r="B100" s="1067"/>
      <c r="C100" s="1067"/>
      <c r="D100" s="1067"/>
      <c r="E100" s="1067"/>
    </row>
    <row r="104" spans="1:5" ht="11.25" customHeight="1" x14ac:dyDescent="0.2">
      <c r="A104" s="896" t="s">
        <v>1024</v>
      </c>
      <c r="C104" s="74" t="s">
        <v>1026</v>
      </c>
      <c r="D104" s="897" t="s">
        <v>1028</v>
      </c>
      <c r="E104" s="30"/>
    </row>
    <row r="105" spans="1:5" ht="11.25" customHeight="1" x14ac:dyDescent="0.2">
      <c r="A105" s="896" t="s">
        <v>1025</v>
      </c>
      <c r="C105" s="74" t="s">
        <v>1027</v>
      </c>
      <c r="D105" s="30" t="s">
        <v>1029</v>
      </c>
      <c r="E105" s="897"/>
    </row>
    <row r="106" spans="1:5" ht="11.25" customHeight="1" x14ac:dyDescent="0.2">
      <c r="A106" s="871"/>
      <c r="C106" s="74" t="s">
        <v>1040</v>
      </c>
      <c r="D106" s="896" t="s">
        <v>1041</v>
      </c>
      <c r="E106" s="74"/>
    </row>
    <row r="109" spans="1:5" ht="11.25" customHeight="1" x14ac:dyDescent="0.2">
      <c r="A109" s="770"/>
      <c r="B109" s="313"/>
      <c r="C109" s="313"/>
      <c r="D109" s="313"/>
      <c r="E109" s="313"/>
    </row>
    <row r="110" spans="1:5" ht="11.25" customHeight="1" x14ac:dyDescent="0.2">
      <c r="A110" s="973" t="s">
        <v>929</v>
      </c>
      <c r="B110" s="1068"/>
      <c r="C110" s="1068"/>
      <c r="D110" s="1068"/>
      <c r="E110" s="974"/>
    </row>
    <row r="111" spans="1:5" ht="11.25" customHeight="1" x14ac:dyDescent="0.2">
      <c r="A111" s="229" t="s">
        <v>205</v>
      </c>
      <c r="B111" s="298" t="s">
        <v>272</v>
      </c>
      <c r="C111" s="298" t="s">
        <v>112</v>
      </c>
      <c r="D111" s="298" t="s">
        <v>274</v>
      </c>
      <c r="E111" s="225" t="s">
        <v>101</v>
      </c>
    </row>
    <row r="112" spans="1:5" ht="11.25" customHeight="1" x14ac:dyDescent="0.2">
      <c r="A112" s="308"/>
      <c r="B112" s="297" t="s">
        <v>273</v>
      </c>
      <c r="C112" s="297" t="s">
        <v>273</v>
      </c>
      <c r="D112" s="297" t="s">
        <v>275</v>
      </c>
      <c r="E112" s="226" t="s">
        <v>102</v>
      </c>
    </row>
    <row r="113" spans="1:5" ht="11.25" customHeight="1" x14ac:dyDescent="0.2">
      <c r="A113" s="308"/>
      <c r="B113" s="297" t="s">
        <v>85</v>
      </c>
      <c r="C113" s="297" t="s">
        <v>86</v>
      </c>
      <c r="D113" s="297" t="s">
        <v>276</v>
      </c>
      <c r="E113" s="769" t="s">
        <v>277</v>
      </c>
    </row>
    <row r="114" spans="1:5" ht="11.25" customHeight="1" x14ac:dyDescent="0.2">
      <c r="A114" s="772"/>
      <c r="B114" s="771"/>
      <c r="C114" s="562"/>
      <c r="D114" s="312"/>
      <c r="E114" s="771"/>
    </row>
    <row r="115" spans="1:5" ht="11.25" customHeight="1" x14ac:dyDescent="0.2">
      <c r="A115" s="773"/>
      <c r="B115" s="375"/>
      <c r="C115" s="313"/>
      <c r="D115" s="314"/>
      <c r="E115" s="375"/>
    </row>
    <row r="116" spans="1:5" ht="11.25" customHeight="1" x14ac:dyDescent="0.2">
      <c r="A116" s="773"/>
      <c r="B116" s="375"/>
      <c r="C116" s="313"/>
      <c r="D116" s="314"/>
      <c r="E116" s="375"/>
    </row>
    <row r="117" spans="1:5" ht="11.25" customHeight="1" x14ac:dyDescent="0.2">
      <c r="A117" s="773"/>
      <c r="B117" s="375"/>
      <c r="C117" s="313"/>
      <c r="D117" s="314"/>
      <c r="E117" s="375"/>
    </row>
    <row r="118" spans="1:5" ht="11.25" customHeight="1" x14ac:dyDescent="0.2">
      <c r="A118" s="773"/>
      <c r="B118" s="375"/>
      <c r="C118" s="313"/>
      <c r="D118" s="314"/>
      <c r="E118" s="375"/>
    </row>
    <row r="119" spans="1:5" ht="11.25" customHeight="1" x14ac:dyDescent="0.2">
      <c r="A119" s="773"/>
      <c r="B119" s="375"/>
      <c r="C119" s="313"/>
      <c r="D119" s="314"/>
      <c r="E119" s="375"/>
    </row>
    <row r="120" spans="1:5" ht="11.25" customHeight="1" x14ac:dyDescent="0.2">
      <c r="A120" s="773"/>
      <c r="B120" s="375"/>
      <c r="C120" s="313"/>
      <c r="D120" s="314"/>
      <c r="E120" s="375"/>
    </row>
    <row r="121" spans="1:5" ht="11.25" customHeight="1" x14ac:dyDescent="0.2">
      <c r="A121" s="773"/>
      <c r="B121" s="375"/>
      <c r="C121" s="313"/>
      <c r="D121" s="314"/>
      <c r="E121" s="375"/>
    </row>
    <row r="122" spans="1:5" ht="11.25" customHeight="1" x14ac:dyDescent="0.2">
      <c r="A122" s="773"/>
      <c r="B122" s="375"/>
      <c r="C122" s="313"/>
      <c r="D122" s="314"/>
      <c r="E122" s="375"/>
    </row>
    <row r="123" spans="1:5" ht="11.25" customHeight="1" x14ac:dyDescent="0.2">
      <c r="A123" s="773"/>
      <c r="B123" s="375"/>
      <c r="C123" s="313"/>
      <c r="D123" s="314"/>
      <c r="E123" s="375"/>
    </row>
    <row r="124" spans="1:5" ht="11.25" customHeight="1" x14ac:dyDescent="0.2">
      <c r="A124" s="773"/>
      <c r="B124" s="375"/>
      <c r="C124" s="313"/>
      <c r="D124" s="314"/>
      <c r="E124" s="375"/>
    </row>
    <row r="125" spans="1:5" ht="11.25" customHeight="1" x14ac:dyDescent="0.2">
      <c r="A125" s="773"/>
      <c r="B125" s="375"/>
      <c r="C125" s="313"/>
      <c r="D125" s="314"/>
      <c r="E125" s="375"/>
    </row>
    <row r="126" spans="1:5" ht="11.25" customHeight="1" x14ac:dyDescent="0.2">
      <c r="A126" s="773"/>
      <c r="B126" s="375"/>
      <c r="C126" s="313"/>
      <c r="D126" s="314"/>
      <c r="E126" s="375"/>
    </row>
    <row r="127" spans="1:5" ht="11.25" customHeight="1" x14ac:dyDescent="0.2">
      <c r="A127" s="773"/>
      <c r="B127" s="375"/>
      <c r="C127" s="313"/>
      <c r="D127" s="314"/>
      <c r="E127" s="375"/>
    </row>
    <row r="128" spans="1:5" ht="11.25" customHeight="1" x14ac:dyDescent="0.2">
      <c r="A128" s="773"/>
      <c r="B128" s="375"/>
      <c r="C128" s="313"/>
      <c r="D128" s="314"/>
      <c r="E128" s="375"/>
    </row>
    <row r="129" spans="1:5" ht="11.25" customHeight="1" x14ac:dyDescent="0.2">
      <c r="A129" s="773"/>
      <c r="B129" s="375"/>
      <c r="C129" s="313"/>
      <c r="D129" s="314"/>
      <c r="E129" s="375"/>
    </row>
    <row r="130" spans="1:5" ht="11.25" customHeight="1" x14ac:dyDescent="0.2">
      <c r="A130" s="773"/>
      <c r="B130" s="375"/>
      <c r="C130" s="313"/>
      <c r="D130" s="314"/>
      <c r="E130" s="375"/>
    </row>
    <row r="131" spans="1:5" ht="11.25" customHeight="1" x14ac:dyDescent="0.2">
      <c r="A131" s="773"/>
      <c r="B131" s="375"/>
      <c r="C131" s="313"/>
      <c r="D131" s="314"/>
      <c r="E131" s="375"/>
    </row>
    <row r="132" spans="1:5" ht="11.25" customHeight="1" x14ac:dyDescent="0.2">
      <c r="A132" s="773"/>
      <c r="B132" s="375"/>
      <c r="C132" s="313"/>
      <c r="D132" s="314"/>
      <c r="E132" s="375"/>
    </row>
    <row r="133" spans="1:5" ht="11.25" customHeight="1" x14ac:dyDescent="0.2">
      <c r="A133" s="773"/>
      <c r="B133" s="375"/>
      <c r="C133" s="313"/>
      <c r="D133" s="314"/>
      <c r="E133" s="375"/>
    </row>
    <row r="134" spans="1:5" ht="11.25" customHeight="1" x14ac:dyDescent="0.2">
      <c r="A134" s="773"/>
      <c r="B134" s="375"/>
      <c r="C134" s="313"/>
      <c r="D134" s="314"/>
      <c r="E134" s="375"/>
    </row>
    <row r="135" spans="1:5" ht="11.25" customHeight="1" x14ac:dyDescent="0.2">
      <c r="A135" s="773"/>
      <c r="B135" s="375"/>
      <c r="C135" s="313"/>
      <c r="D135" s="314"/>
      <c r="E135" s="375"/>
    </row>
    <row r="136" spans="1:5" ht="11.25" customHeight="1" x14ac:dyDescent="0.2">
      <c r="A136" s="773"/>
      <c r="B136" s="375"/>
      <c r="C136" s="313"/>
      <c r="D136" s="314"/>
      <c r="E136" s="375"/>
    </row>
    <row r="137" spans="1:5" ht="11.25" customHeight="1" x14ac:dyDescent="0.2">
      <c r="A137" s="773"/>
      <c r="B137" s="375"/>
      <c r="C137" s="313"/>
      <c r="D137" s="314"/>
      <c r="E137" s="375"/>
    </row>
    <row r="138" spans="1:5" ht="11.25" customHeight="1" x14ac:dyDescent="0.2">
      <c r="A138" s="773"/>
      <c r="B138" s="375"/>
      <c r="C138" s="313"/>
      <c r="D138" s="314"/>
      <c r="E138" s="375"/>
    </row>
    <row r="139" spans="1:5" ht="11.25" customHeight="1" x14ac:dyDescent="0.2">
      <c r="A139" s="773"/>
      <c r="B139" s="375"/>
      <c r="C139" s="313"/>
      <c r="D139" s="314"/>
      <c r="E139" s="375"/>
    </row>
    <row r="140" spans="1:5" ht="11.25" customHeight="1" x14ac:dyDescent="0.2">
      <c r="A140" s="773"/>
      <c r="B140" s="375"/>
      <c r="C140" s="313"/>
      <c r="D140" s="314"/>
      <c r="E140" s="375"/>
    </row>
    <row r="141" spans="1:5" ht="11.25" customHeight="1" x14ac:dyDescent="0.2">
      <c r="A141" s="773"/>
      <c r="B141" s="375"/>
      <c r="C141" s="313"/>
      <c r="D141" s="314"/>
      <c r="E141" s="375"/>
    </row>
    <row r="142" spans="1:5" ht="11.25" customHeight="1" x14ac:dyDescent="0.2">
      <c r="A142" s="773"/>
      <c r="B142" s="375"/>
      <c r="C142" s="313"/>
      <c r="D142" s="314"/>
      <c r="E142" s="375"/>
    </row>
    <row r="143" spans="1:5" ht="11.25" customHeight="1" x14ac:dyDescent="0.2">
      <c r="A143" s="773"/>
      <c r="B143" s="375"/>
      <c r="C143" s="313"/>
      <c r="D143" s="314"/>
      <c r="E143" s="375"/>
    </row>
    <row r="144" spans="1:5" ht="11.25" customHeight="1" x14ac:dyDescent="0.2">
      <c r="A144" s="773"/>
      <c r="B144" s="375"/>
      <c r="C144" s="313"/>
      <c r="D144" s="314"/>
      <c r="E144" s="375"/>
    </row>
    <row r="145" spans="1:5" ht="11.25" customHeight="1" x14ac:dyDescent="0.2">
      <c r="A145" s="773"/>
      <c r="B145" s="375"/>
      <c r="C145" s="313"/>
      <c r="D145" s="314"/>
      <c r="E145" s="375"/>
    </row>
    <row r="146" spans="1:5" ht="11.25" customHeight="1" x14ac:dyDescent="0.2">
      <c r="A146" s="773"/>
      <c r="B146" s="375"/>
      <c r="C146" s="313"/>
      <c r="D146" s="314"/>
      <c r="E146" s="375"/>
    </row>
    <row r="147" spans="1:5" ht="11.25" customHeight="1" x14ac:dyDescent="0.2">
      <c r="A147" s="773"/>
      <c r="B147" s="375"/>
      <c r="C147" s="313"/>
      <c r="D147" s="314"/>
      <c r="E147" s="375"/>
    </row>
    <row r="148" spans="1:5" ht="11.25" customHeight="1" x14ac:dyDescent="0.2">
      <c r="A148" s="773"/>
      <c r="B148" s="375"/>
      <c r="C148" s="313"/>
      <c r="D148" s="314"/>
      <c r="E148" s="375"/>
    </row>
    <row r="149" spans="1:5" ht="11.25" customHeight="1" x14ac:dyDescent="0.2">
      <c r="A149" s="773"/>
      <c r="B149" s="375"/>
      <c r="C149" s="313"/>
      <c r="D149" s="314"/>
      <c r="E149" s="375"/>
    </row>
    <row r="150" spans="1:5" ht="11.25" customHeight="1" x14ac:dyDescent="0.2">
      <c r="A150" s="773"/>
      <c r="B150" s="375"/>
      <c r="C150" s="313"/>
      <c r="D150" s="314"/>
      <c r="E150" s="375"/>
    </row>
    <row r="151" spans="1:5" ht="11.25" customHeight="1" x14ac:dyDescent="0.2">
      <c r="A151" s="773"/>
      <c r="B151" s="375"/>
      <c r="C151" s="313"/>
      <c r="D151" s="314"/>
      <c r="E151" s="375"/>
    </row>
    <row r="152" spans="1:5" ht="11.25" customHeight="1" x14ac:dyDescent="0.2">
      <c r="A152" s="773"/>
      <c r="B152" s="375"/>
      <c r="C152" s="313"/>
      <c r="D152" s="314"/>
      <c r="E152" s="375"/>
    </row>
    <row r="153" spans="1:5" ht="11.25" customHeight="1" x14ac:dyDescent="0.2">
      <c r="A153" s="773"/>
      <c r="B153" s="375"/>
      <c r="C153" s="313"/>
      <c r="D153" s="314"/>
      <c r="E153" s="375"/>
    </row>
    <row r="154" spans="1:5" ht="11.25" customHeight="1" x14ac:dyDescent="0.2">
      <c r="A154" s="773"/>
      <c r="B154" s="375"/>
      <c r="C154" s="313"/>
      <c r="D154" s="314"/>
      <c r="E154" s="375"/>
    </row>
    <row r="155" spans="1:5" ht="11.25" customHeight="1" x14ac:dyDescent="0.2">
      <c r="A155" s="773"/>
      <c r="B155" s="375"/>
      <c r="C155" s="313"/>
      <c r="D155" s="314"/>
      <c r="E155" s="375"/>
    </row>
    <row r="156" spans="1:5" ht="11.25" customHeight="1" x14ac:dyDescent="0.2">
      <c r="A156" s="773"/>
      <c r="B156" s="375"/>
      <c r="C156" s="313"/>
      <c r="D156" s="314"/>
      <c r="E156" s="375"/>
    </row>
    <row r="157" spans="1:5" ht="11.25" customHeight="1" x14ac:dyDescent="0.2">
      <c r="A157" s="773"/>
      <c r="B157" s="375"/>
      <c r="C157" s="313"/>
      <c r="D157" s="314"/>
      <c r="E157" s="375"/>
    </row>
    <row r="158" spans="1:5" ht="11.25" customHeight="1" x14ac:dyDescent="0.2">
      <c r="A158" s="773"/>
      <c r="B158" s="375"/>
      <c r="C158" s="313"/>
      <c r="D158" s="314"/>
      <c r="E158" s="375"/>
    </row>
    <row r="159" spans="1:5" ht="11.25" customHeight="1" x14ac:dyDescent="0.2">
      <c r="A159" s="773"/>
      <c r="B159" s="375"/>
      <c r="C159" s="313"/>
      <c r="D159" s="314"/>
      <c r="E159" s="375"/>
    </row>
    <row r="160" spans="1:5" ht="11.25" customHeight="1" x14ac:dyDescent="0.2">
      <c r="A160" s="773"/>
      <c r="B160" s="375"/>
      <c r="C160" s="313"/>
      <c r="D160" s="314"/>
      <c r="E160" s="375"/>
    </row>
    <row r="161" spans="1:5" ht="11.25" customHeight="1" x14ac:dyDescent="0.2">
      <c r="A161" s="773"/>
      <c r="B161" s="375"/>
      <c r="C161" s="313"/>
      <c r="D161" s="314"/>
      <c r="E161" s="375"/>
    </row>
    <row r="162" spans="1:5" ht="11.25" customHeight="1" x14ac:dyDescent="0.2">
      <c r="A162" s="773"/>
      <c r="B162" s="375"/>
      <c r="C162" s="313"/>
      <c r="D162" s="314"/>
      <c r="E162" s="375"/>
    </row>
    <row r="163" spans="1:5" ht="11.25" customHeight="1" x14ac:dyDescent="0.2">
      <c r="A163" s="773"/>
      <c r="B163" s="375"/>
      <c r="C163" s="313"/>
      <c r="D163" s="314"/>
      <c r="E163" s="375"/>
    </row>
    <row r="164" spans="1:5" ht="11.25" customHeight="1" x14ac:dyDescent="0.2">
      <c r="A164" s="773"/>
      <c r="B164" s="375"/>
      <c r="C164" s="313"/>
      <c r="D164" s="314"/>
      <c r="E164" s="375"/>
    </row>
    <row r="165" spans="1:5" ht="11.25" customHeight="1" x14ac:dyDescent="0.2">
      <c r="A165" s="773"/>
      <c r="B165" s="375"/>
      <c r="C165" s="313"/>
      <c r="D165" s="314"/>
      <c r="E165" s="375"/>
    </row>
    <row r="166" spans="1:5" ht="11.25" customHeight="1" x14ac:dyDescent="0.2">
      <c r="A166" s="773"/>
      <c r="B166" s="375"/>
      <c r="C166" s="313"/>
      <c r="D166" s="314"/>
      <c r="E166" s="375"/>
    </row>
    <row r="167" spans="1:5" ht="11.25" customHeight="1" x14ac:dyDescent="0.2">
      <c r="A167" s="773"/>
      <c r="B167" s="375"/>
      <c r="C167" s="313"/>
      <c r="D167" s="314"/>
      <c r="E167" s="375"/>
    </row>
    <row r="168" spans="1:5" ht="11.25" customHeight="1" x14ac:dyDescent="0.2">
      <c r="A168" s="773"/>
      <c r="B168" s="375"/>
      <c r="C168" s="313"/>
      <c r="D168" s="314"/>
      <c r="E168" s="375"/>
    </row>
    <row r="169" spans="1:5" ht="11.25" customHeight="1" x14ac:dyDescent="0.2">
      <c r="A169" s="773"/>
      <c r="B169" s="375"/>
      <c r="C169" s="313"/>
      <c r="D169" s="314"/>
      <c r="E169" s="375"/>
    </row>
    <row r="170" spans="1:5" ht="11.25" customHeight="1" x14ac:dyDescent="0.2">
      <c r="A170" s="773"/>
      <c r="B170" s="375"/>
      <c r="C170" s="313"/>
      <c r="D170" s="314"/>
      <c r="E170" s="375"/>
    </row>
    <row r="171" spans="1:5" ht="11.25" customHeight="1" x14ac:dyDescent="0.2">
      <c r="A171" s="773"/>
      <c r="B171" s="375"/>
      <c r="C171" s="313"/>
      <c r="D171" s="314"/>
      <c r="E171" s="375"/>
    </row>
    <row r="172" spans="1:5" ht="11.25" customHeight="1" x14ac:dyDescent="0.2">
      <c r="A172" s="773"/>
      <c r="B172" s="375"/>
      <c r="C172" s="313"/>
      <c r="D172" s="314"/>
      <c r="E172" s="375"/>
    </row>
    <row r="173" spans="1:5" ht="11.25" customHeight="1" x14ac:dyDescent="0.2">
      <c r="A173" s="773"/>
      <c r="B173" s="375"/>
      <c r="C173" s="313"/>
      <c r="D173" s="314"/>
      <c r="E173" s="375"/>
    </row>
    <row r="174" spans="1:5" ht="11.25" customHeight="1" x14ac:dyDescent="0.2">
      <c r="A174" s="773"/>
      <c r="B174" s="375"/>
      <c r="C174" s="313"/>
      <c r="D174" s="314"/>
      <c r="E174" s="375"/>
    </row>
    <row r="175" spans="1:5" ht="11.25" customHeight="1" x14ac:dyDescent="0.2">
      <c r="A175" s="773"/>
      <c r="B175" s="375"/>
      <c r="C175" s="313"/>
      <c r="D175" s="314"/>
      <c r="E175" s="375"/>
    </row>
    <row r="176" spans="1:5" ht="11.25" customHeight="1" x14ac:dyDescent="0.2">
      <c r="A176" s="773"/>
      <c r="B176" s="375"/>
      <c r="C176" s="313"/>
      <c r="D176" s="314"/>
      <c r="E176" s="375"/>
    </row>
    <row r="177" spans="1:5" ht="11.25" customHeight="1" x14ac:dyDescent="0.2">
      <c r="A177" s="773"/>
      <c r="B177" s="375"/>
      <c r="C177" s="313"/>
      <c r="D177" s="314"/>
      <c r="E177" s="375"/>
    </row>
    <row r="178" spans="1:5" ht="11.25" customHeight="1" x14ac:dyDescent="0.2">
      <c r="A178" s="773"/>
      <c r="B178" s="375"/>
      <c r="C178" s="313"/>
      <c r="D178" s="314"/>
      <c r="E178" s="375"/>
    </row>
    <row r="179" spans="1:5" ht="11.25" customHeight="1" x14ac:dyDescent="0.2">
      <c r="A179" s="773"/>
      <c r="B179" s="375"/>
      <c r="C179" s="313"/>
      <c r="D179" s="314"/>
      <c r="E179" s="375"/>
    </row>
    <row r="180" spans="1:5" ht="11.25" customHeight="1" x14ac:dyDescent="0.2">
      <c r="A180" s="773"/>
      <c r="B180" s="375"/>
      <c r="C180" s="313"/>
      <c r="D180" s="314"/>
      <c r="E180" s="375"/>
    </row>
    <row r="181" spans="1:5" ht="11.25" customHeight="1" x14ac:dyDescent="0.2">
      <c r="A181" s="773"/>
      <c r="B181" s="375"/>
      <c r="C181" s="313"/>
      <c r="D181" s="314"/>
      <c r="E181" s="375"/>
    </row>
    <row r="182" spans="1:5" ht="11.25" customHeight="1" x14ac:dyDescent="0.2">
      <c r="A182" s="773"/>
      <c r="B182" s="375"/>
      <c r="C182" s="313"/>
      <c r="D182" s="314"/>
      <c r="E182" s="375"/>
    </row>
    <row r="183" spans="1:5" ht="11.25" customHeight="1" x14ac:dyDescent="0.2">
      <c r="A183" s="773"/>
      <c r="B183" s="375"/>
      <c r="C183" s="313"/>
      <c r="D183" s="314"/>
      <c r="E183" s="375"/>
    </row>
    <row r="184" spans="1:5" ht="11.25" customHeight="1" x14ac:dyDescent="0.2">
      <c r="A184" s="773"/>
      <c r="B184" s="375"/>
      <c r="C184" s="313"/>
      <c r="D184" s="314"/>
      <c r="E184" s="375"/>
    </row>
    <row r="185" spans="1:5" ht="11.25" customHeight="1" x14ac:dyDescent="0.2">
      <c r="A185" s="773"/>
      <c r="B185" s="375"/>
      <c r="C185" s="313"/>
      <c r="D185" s="314"/>
      <c r="E185" s="375"/>
    </row>
    <row r="186" spans="1:5" ht="11.25" customHeight="1" x14ac:dyDescent="0.2">
      <c r="A186" s="773"/>
      <c r="B186" s="375"/>
      <c r="C186" s="313"/>
      <c r="D186" s="314"/>
      <c r="E186" s="375"/>
    </row>
    <row r="187" spans="1:5" ht="11.25" customHeight="1" x14ac:dyDescent="0.2">
      <c r="A187" s="773"/>
      <c r="B187" s="375"/>
      <c r="C187" s="313"/>
      <c r="D187" s="314"/>
      <c r="E187" s="375"/>
    </row>
    <row r="188" spans="1:5" x14ac:dyDescent="0.2">
      <c r="A188" s="774"/>
      <c r="B188" s="557"/>
      <c r="C188" s="563"/>
      <c r="D188" s="317"/>
      <c r="E188" s="317"/>
    </row>
    <row r="189" spans="1:5" ht="25.5" customHeight="1" x14ac:dyDescent="0.2">
      <c r="A189" s="770" t="str">
        <f>A98</f>
        <v>FONTE: Sistema &lt;sistema&gt;, Unidade Responsável: &lt;Unidade Responsável&gt;. Emissão: &lt;dd/mm/aaaa&gt;, às &lt;hh:mm:ss&gt;. Assinado Digitalmente no dia &lt;dd/mm/aaaa&gt;, às &lt;hh:mm:ss&gt;.</v>
      </c>
      <c r="B189" s="313"/>
      <c r="C189" s="313"/>
      <c r="D189" s="313"/>
      <c r="E189" s="313"/>
    </row>
    <row r="190" spans="1:5" x14ac:dyDescent="0.2">
      <c r="A190" s="925" t="str">
        <f>A99</f>
        <v>Notas: 1 Projeção atuarial elaborada em &lt;DATA DA AVALIAÇÃO&gt; e oficialmente enviada para o Ministério da Previdência Social – MPS.</v>
      </c>
      <c r="B190" s="925"/>
      <c r="C190" s="925"/>
      <c r="D190" s="925"/>
      <c r="E190" s="925"/>
    </row>
    <row r="191" spans="1:5" x14ac:dyDescent="0.2">
      <c r="A191" s="1067" t="str">
        <f>A100</f>
        <v>2 Este Demonstrativo utiliza as seguintes hipóteses:
&lt;HIPÓTESE&gt;: &lt;VALOR&gt;</v>
      </c>
      <c r="B191" s="1067"/>
      <c r="C191" s="1067"/>
      <c r="D191" s="1067"/>
      <c r="E191" s="1067"/>
    </row>
  </sheetData>
  <mergeCells count="10">
    <mergeCell ref="A11:E11"/>
    <mergeCell ref="A13:E13"/>
    <mergeCell ref="A14:E14"/>
    <mergeCell ref="A190:E190"/>
    <mergeCell ref="A191:E191"/>
    <mergeCell ref="A17:E17"/>
    <mergeCell ref="A110:E110"/>
    <mergeCell ref="A98:E98"/>
    <mergeCell ref="A99:E99"/>
    <mergeCell ref="A100:E100"/>
  </mergeCells>
  <phoneticPr fontId="0" type="noConversion"/>
  <printOptions horizontalCentered="1"/>
  <pageMargins left="0.39370078740157483" right="0.39370078740157483" top="0.59055118110236227" bottom="0.39370078740157483" header="0" footer="0.19685039370078741"/>
  <pageSetup paperSize="9" scale="75" orientation="portrait" r:id="rId1"/>
  <headerFooter alignWithMargins="0">
    <oddFooter>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M47"/>
  <sheetViews>
    <sheetView showGridLines="0" zoomScaleNormal="100" workbookViewId="0"/>
  </sheetViews>
  <sheetFormatPr defaultColWidth="22.28515625" defaultRowHeight="11.25" customHeight="1" x14ac:dyDescent="0.2"/>
  <cols>
    <col min="1" max="1" width="48" style="99" customWidth="1"/>
    <col min="2" max="7" width="21.140625" style="99" customWidth="1"/>
    <col min="8" max="8" width="21.140625" style="100" customWidth="1"/>
    <col min="9" max="16384" width="22.28515625" style="99"/>
  </cols>
  <sheetData>
    <row r="1" spans="1:8" s="89" customFormat="1" ht="12.75" x14ac:dyDescent="0.2">
      <c r="A1" s="440"/>
      <c r="H1" s="90"/>
    </row>
    <row r="2" spans="1:8" s="89" customFormat="1" ht="25.5" customHeight="1" x14ac:dyDescent="0.2">
      <c r="A2" s="861" t="s">
        <v>1019</v>
      </c>
      <c r="H2" s="90"/>
    </row>
    <row r="3" spans="1:8" s="89" customFormat="1" ht="15.75" customHeight="1" x14ac:dyDescent="0.2">
      <c r="A3" s="862" t="s">
        <v>1020</v>
      </c>
      <c r="H3" s="90"/>
    </row>
    <row r="4" spans="1:8" s="89" customFormat="1" ht="15.75" customHeight="1" x14ac:dyDescent="0.2">
      <c r="A4" s="862" t="s">
        <v>1021</v>
      </c>
      <c r="H4" s="90"/>
    </row>
    <row r="5" spans="1:8" s="89" customFormat="1" ht="15.75" customHeight="1" x14ac:dyDescent="0.2">
      <c r="A5" s="862" t="s">
        <v>1022</v>
      </c>
      <c r="H5" s="90"/>
    </row>
    <row r="6" spans="1:8" s="89" customFormat="1" ht="15.75" x14ac:dyDescent="0.25">
      <c r="A6" s="88" t="s">
        <v>370</v>
      </c>
      <c r="B6" s="99"/>
      <c r="C6" s="99"/>
      <c r="D6" s="99"/>
      <c r="E6" s="99"/>
      <c r="F6" s="99"/>
      <c r="H6" s="90"/>
    </row>
    <row r="7" spans="1:8" s="89" customFormat="1" ht="12.75" x14ac:dyDescent="0.2">
      <c r="H7" s="90"/>
    </row>
    <row r="8" spans="1:8" ht="12.75" x14ac:dyDescent="0.2">
      <c r="A8" s="863" t="s">
        <v>1019</v>
      </c>
      <c r="B8" s="205"/>
      <c r="C8" s="205"/>
      <c r="D8" s="205"/>
      <c r="E8" s="205"/>
      <c r="F8" s="205"/>
    </row>
    <row r="9" spans="1:8" s="89" customFormat="1" ht="12.75" x14ac:dyDescent="0.2">
      <c r="A9" s="205" t="s">
        <v>74</v>
      </c>
      <c r="B9" s="205"/>
      <c r="C9" s="205"/>
      <c r="D9" s="205"/>
      <c r="E9" s="205"/>
      <c r="F9" s="205"/>
      <c r="H9" s="90"/>
    </row>
    <row r="10" spans="1:8" s="89" customFormat="1" ht="12.75" x14ac:dyDescent="0.2">
      <c r="A10" s="327" t="s">
        <v>206</v>
      </c>
      <c r="B10" s="327"/>
      <c r="C10" s="327"/>
      <c r="D10" s="327"/>
      <c r="E10" s="327"/>
      <c r="F10" s="327"/>
      <c r="G10" s="205"/>
      <c r="H10" s="90"/>
    </row>
    <row r="11" spans="1:8" s="89" customFormat="1" ht="12.75" x14ac:dyDescent="0.2">
      <c r="A11" s="1033" t="s">
        <v>76</v>
      </c>
      <c r="B11" s="1033"/>
      <c r="C11" s="1033"/>
      <c r="D11" s="1033"/>
      <c r="E11" s="1033"/>
      <c r="F11" s="1033"/>
      <c r="G11" s="205"/>
      <c r="H11" s="90"/>
    </row>
    <row r="12" spans="1:8" s="89" customFormat="1" ht="12.75" x14ac:dyDescent="0.2">
      <c r="A12" s="99" t="s">
        <v>1023</v>
      </c>
      <c r="B12" s="766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G12" s="327"/>
      <c r="H12" s="90"/>
    </row>
    <row r="13" spans="1:8" s="89" customFormat="1" ht="12.75" hidden="1" x14ac:dyDescent="0.2">
      <c r="A13" s="1033"/>
      <c r="B13" s="1033"/>
      <c r="C13" s="1033"/>
      <c r="D13" s="1033"/>
      <c r="E13" s="1033"/>
      <c r="F13" s="1033"/>
      <c r="G13" s="205"/>
      <c r="H13" s="90"/>
    </row>
    <row r="14" spans="1:8" s="89" customFormat="1" ht="12.75" hidden="1" x14ac:dyDescent="0.2">
      <c r="A14" s="1033"/>
      <c r="B14" s="1033"/>
      <c r="C14" s="1033"/>
      <c r="D14" s="1033"/>
      <c r="E14" s="1033"/>
      <c r="F14" s="1033"/>
      <c r="G14" s="205"/>
      <c r="H14" s="90"/>
    </row>
    <row r="15" spans="1:8" s="89" customFormat="1" ht="12.75" x14ac:dyDescent="0.2">
      <c r="H15" s="90"/>
    </row>
    <row r="16" spans="1:8" s="89" customFormat="1" ht="12.75" x14ac:dyDescent="0.2">
      <c r="A16" s="333" t="s">
        <v>367</v>
      </c>
      <c r="D16" s="91" t="s">
        <v>417</v>
      </c>
    </row>
    <row r="17" spans="1:8" ht="11.25" customHeight="1" x14ac:dyDescent="0.2">
      <c r="A17" s="1082" t="s">
        <v>79</v>
      </c>
      <c r="B17" s="101" t="s">
        <v>207</v>
      </c>
      <c r="C17" s="301" t="s">
        <v>78</v>
      </c>
      <c r="D17" s="101" t="s">
        <v>113</v>
      </c>
      <c r="H17" s="99"/>
    </row>
    <row r="18" spans="1:8" ht="11.25" customHeight="1" x14ac:dyDescent="0.2">
      <c r="A18" s="1083"/>
      <c r="B18" s="102" t="s">
        <v>85</v>
      </c>
      <c r="C18" s="302" t="s">
        <v>86</v>
      </c>
      <c r="D18" s="102" t="s">
        <v>278</v>
      </c>
      <c r="H18" s="99"/>
    </row>
    <row r="19" spans="1:8" ht="11.25" customHeight="1" x14ac:dyDescent="0.2">
      <c r="A19" s="103" t="s">
        <v>523</v>
      </c>
      <c r="B19" s="314">
        <f>B20+B21+B22+B23</f>
        <v>20100</v>
      </c>
      <c r="C19" s="315">
        <f>C20+C21+C22+C23</f>
        <v>1930005.6</v>
      </c>
      <c r="D19" s="314">
        <f>B19-C19</f>
        <v>-1909905.6</v>
      </c>
      <c r="H19" s="99"/>
    </row>
    <row r="20" spans="1:8" ht="11.25" customHeight="1" x14ac:dyDescent="0.2">
      <c r="A20" s="104" t="s">
        <v>701</v>
      </c>
      <c r="B20" s="316"/>
      <c r="C20" s="316"/>
      <c r="D20" s="314">
        <f>B20-C20</f>
        <v>0</v>
      </c>
      <c r="H20" s="99"/>
    </row>
    <row r="21" spans="1:8" ht="11.25" customHeight="1" x14ac:dyDescent="0.2">
      <c r="A21" s="104" t="s">
        <v>702</v>
      </c>
      <c r="B21" s="316">
        <v>20000</v>
      </c>
      <c r="C21" s="316">
        <v>1926805.54</v>
      </c>
      <c r="D21" s="314">
        <f>B21-C21</f>
        <v>-1906805.54</v>
      </c>
      <c r="H21" s="99"/>
    </row>
    <row r="22" spans="1:8" ht="11.25" customHeight="1" x14ac:dyDescent="0.2">
      <c r="A22" s="104" t="s">
        <v>1017</v>
      </c>
      <c r="B22" s="316">
        <v>0</v>
      </c>
      <c r="C22" s="316"/>
      <c r="D22" s="314">
        <f>B22-C22</f>
        <v>0</v>
      </c>
      <c r="H22" s="99"/>
    </row>
    <row r="23" spans="1:8" ht="11.25" customHeight="1" x14ac:dyDescent="0.2">
      <c r="A23" s="104" t="s">
        <v>1018</v>
      </c>
      <c r="B23" s="316">
        <v>100</v>
      </c>
      <c r="C23" s="316">
        <v>3200.06</v>
      </c>
      <c r="D23" s="314">
        <f>B23-C23</f>
        <v>-3100.06</v>
      </c>
      <c r="H23" s="99"/>
    </row>
    <row r="24" spans="1:8" s="100" customFormat="1" ht="11.25" customHeight="1" x14ac:dyDescent="0.2">
      <c r="A24" s="213"/>
      <c r="B24" s="208"/>
      <c r="C24" s="208"/>
      <c r="D24" s="208"/>
    </row>
    <row r="25" spans="1:8" ht="11.25" customHeight="1" x14ac:dyDescent="0.2">
      <c r="A25" s="105"/>
      <c r="B25" s="190" t="s">
        <v>208</v>
      </c>
      <c r="C25" s="131" t="s">
        <v>529</v>
      </c>
      <c r="D25" s="106" t="s">
        <v>529</v>
      </c>
      <c r="E25" s="189" t="s">
        <v>683</v>
      </c>
      <c r="F25" s="1079" t="s">
        <v>719</v>
      </c>
      <c r="G25" s="301" t="s">
        <v>680</v>
      </c>
      <c r="H25" s="101" t="s">
        <v>956</v>
      </c>
    </row>
    <row r="26" spans="1:8" ht="11.25" customHeight="1" x14ac:dyDescent="0.2">
      <c r="A26" s="110" t="s">
        <v>112</v>
      </c>
      <c r="B26" s="107"/>
      <c r="C26" s="132" t="s">
        <v>530</v>
      </c>
      <c r="D26" s="108" t="s">
        <v>201</v>
      </c>
      <c r="E26" s="192" t="s">
        <v>682</v>
      </c>
      <c r="F26" s="1080"/>
      <c r="G26" s="109" t="s">
        <v>681</v>
      </c>
      <c r="H26" s="227"/>
    </row>
    <row r="27" spans="1:8" ht="11.25" customHeight="1" x14ac:dyDescent="0.2">
      <c r="A27" s="111"/>
      <c r="B27" s="191" t="s">
        <v>114</v>
      </c>
      <c r="C27" s="191" t="s">
        <v>115</v>
      </c>
      <c r="D27" s="112"/>
      <c r="E27" s="302" t="s">
        <v>200</v>
      </c>
      <c r="F27" s="1081"/>
      <c r="G27" s="302" t="s">
        <v>116</v>
      </c>
      <c r="H27" s="102" t="s">
        <v>955</v>
      </c>
    </row>
    <row r="28" spans="1:8" ht="11.25" customHeight="1" x14ac:dyDescent="0.2">
      <c r="A28" s="113" t="s">
        <v>104</v>
      </c>
      <c r="B28" s="316">
        <f t="shared" ref="B28:G28" si="0">B29+B33</f>
        <v>129697.13</v>
      </c>
      <c r="C28" s="316">
        <f t="shared" si="0"/>
        <v>109597.13</v>
      </c>
      <c r="D28" s="316">
        <f t="shared" si="0"/>
        <v>109597.13</v>
      </c>
      <c r="E28" s="316">
        <f t="shared" si="0"/>
        <v>109597.13</v>
      </c>
      <c r="F28" s="316">
        <f t="shared" si="0"/>
        <v>0</v>
      </c>
      <c r="G28" s="316">
        <f t="shared" si="0"/>
        <v>0</v>
      </c>
      <c r="H28" s="314">
        <f>B28-E28</f>
        <v>20100</v>
      </c>
    </row>
    <row r="29" spans="1:8" ht="11.25" customHeight="1" x14ac:dyDescent="0.2">
      <c r="A29" s="114" t="s">
        <v>161</v>
      </c>
      <c r="B29" s="316">
        <f t="shared" ref="B29:G29" si="1">B30+B31+B32</f>
        <v>129697.13</v>
      </c>
      <c r="C29" s="316">
        <f t="shared" si="1"/>
        <v>109597.13</v>
      </c>
      <c r="D29" s="316">
        <f t="shared" si="1"/>
        <v>109597.13</v>
      </c>
      <c r="E29" s="316">
        <f t="shared" si="1"/>
        <v>109597.13</v>
      </c>
      <c r="F29" s="316">
        <f t="shared" si="1"/>
        <v>0</v>
      </c>
      <c r="G29" s="316">
        <f t="shared" si="1"/>
        <v>0</v>
      </c>
      <c r="H29" s="314">
        <f t="shared" ref="H29:H34" si="2">B29-C29</f>
        <v>20100</v>
      </c>
    </row>
    <row r="30" spans="1:8" ht="11.25" customHeight="1" x14ac:dyDescent="0.2">
      <c r="A30" s="114" t="s">
        <v>209</v>
      </c>
      <c r="B30" s="316"/>
      <c r="C30" s="316"/>
      <c r="D30" s="316"/>
      <c r="E30" s="316"/>
      <c r="F30" s="316"/>
      <c r="G30" s="316"/>
      <c r="H30" s="314">
        <f t="shared" si="2"/>
        <v>0</v>
      </c>
    </row>
    <row r="31" spans="1:8" ht="11.25" customHeight="1" x14ac:dyDescent="0.2">
      <c r="A31" s="114" t="s">
        <v>210</v>
      </c>
      <c r="B31" s="316"/>
      <c r="C31" s="316"/>
      <c r="D31" s="316"/>
      <c r="E31" s="316"/>
      <c r="F31" s="316"/>
      <c r="G31" s="316"/>
      <c r="H31" s="314">
        <f t="shared" si="2"/>
        <v>0</v>
      </c>
    </row>
    <row r="32" spans="1:8" ht="11.25" customHeight="1" x14ac:dyDescent="0.2">
      <c r="A32" s="114" t="s">
        <v>211</v>
      </c>
      <c r="B32" s="316">
        <v>129697.13</v>
      </c>
      <c r="C32" s="316">
        <v>109597.13</v>
      </c>
      <c r="D32" s="316">
        <v>109597.13</v>
      </c>
      <c r="E32" s="316">
        <v>109597.13</v>
      </c>
      <c r="F32" s="316">
        <v>0</v>
      </c>
      <c r="G32" s="316">
        <v>0</v>
      </c>
      <c r="H32" s="314">
        <f t="shared" si="2"/>
        <v>20100</v>
      </c>
    </row>
    <row r="33" spans="1:13" ht="11.25" customHeight="1" x14ac:dyDescent="0.2">
      <c r="A33" s="114" t="s">
        <v>212</v>
      </c>
      <c r="B33" s="316">
        <f t="shared" ref="B33:G33" si="3">B34</f>
        <v>0</v>
      </c>
      <c r="C33" s="316">
        <f t="shared" si="3"/>
        <v>0</v>
      </c>
      <c r="D33" s="316">
        <f t="shared" si="3"/>
        <v>0</v>
      </c>
      <c r="E33" s="316">
        <f t="shared" si="3"/>
        <v>0</v>
      </c>
      <c r="F33" s="316">
        <f t="shared" si="3"/>
        <v>0</v>
      </c>
      <c r="G33" s="316">
        <f t="shared" si="3"/>
        <v>0</v>
      </c>
      <c r="H33" s="314">
        <f t="shared" si="2"/>
        <v>0</v>
      </c>
    </row>
    <row r="34" spans="1:13" ht="11.25" customHeight="1" x14ac:dyDescent="0.2">
      <c r="A34" s="114" t="s">
        <v>213</v>
      </c>
      <c r="B34" s="316"/>
      <c r="C34" s="316"/>
      <c r="D34" s="316"/>
      <c r="E34" s="316"/>
      <c r="F34" s="316"/>
      <c r="G34" s="316"/>
      <c r="H34" s="314">
        <f t="shared" si="2"/>
        <v>0</v>
      </c>
    </row>
    <row r="35" spans="1:13" ht="11.25" customHeight="1" x14ac:dyDescent="0.2">
      <c r="A35" s="115"/>
      <c r="B35" s="116"/>
      <c r="C35" s="116"/>
      <c r="D35" s="116"/>
      <c r="E35" s="116"/>
      <c r="F35" s="116"/>
      <c r="G35" s="116"/>
      <c r="H35" s="116"/>
    </row>
    <row r="36" spans="1:13" ht="11.25" customHeight="1" x14ac:dyDescent="0.2">
      <c r="A36" s="1072" t="s">
        <v>215</v>
      </c>
      <c r="B36" s="106" t="s">
        <v>6</v>
      </c>
      <c r="C36" s="299" t="s">
        <v>128</v>
      </c>
      <c r="D36" s="106" t="s">
        <v>214</v>
      </c>
      <c r="E36" s="100"/>
      <c r="F36" s="100"/>
      <c r="G36" s="100"/>
      <c r="I36" s="100"/>
    </row>
    <row r="37" spans="1:13" ht="11.25" customHeight="1" x14ac:dyDescent="0.2">
      <c r="A37" s="1073"/>
      <c r="B37" s="112" t="s">
        <v>353</v>
      </c>
      <c r="C37" s="300" t="s">
        <v>957</v>
      </c>
      <c r="D37" s="112" t="s">
        <v>958</v>
      </c>
      <c r="E37" s="100"/>
      <c r="F37" s="100"/>
      <c r="G37" s="100"/>
      <c r="I37" s="100"/>
    </row>
    <row r="38" spans="1:13" ht="11.25" customHeight="1" x14ac:dyDescent="0.2">
      <c r="A38" s="309" t="s">
        <v>105</v>
      </c>
      <c r="B38" s="318">
        <v>109597.13</v>
      </c>
      <c r="C38" s="319">
        <f>C19-(E28+G28)</f>
        <v>1820408.4700000002</v>
      </c>
      <c r="D38" s="318">
        <f>B38+C38</f>
        <v>1930005.6</v>
      </c>
      <c r="E38" s="100"/>
      <c r="F38" s="100"/>
      <c r="G38" s="100"/>
      <c r="I38" s="100"/>
    </row>
    <row r="39" spans="1:13" ht="16.5" customHeight="1" x14ac:dyDescent="0.2">
      <c r="A39" s="1074" t="s">
        <v>1036</v>
      </c>
      <c r="B39" s="1075"/>
      <c r="C39" s="1075"/>
      <c r="D39" s="1075"/>
      <c r="E39" s="1076"/>
      <c r="F39" s="1076"/>
      <c r="G39" s="1076"/>
      <c r="H39" s="1076"/>
      <c r="I39" s="117"/>
      <c r="J39" s="117"/>
      <c r="K39" s="117"/>
      <c r="L39" s="117"/>
      <c r="M39" s="117"/>
    </row>
    <row r="40" spans="1:13" ht="11.25" customHeight="1" x14ac:dyDescent="0.2">
      <c r="A40" s="1077"/>
      <c r="B40" s="1077"/>
      <c r="C40" s="1077"/>
      <c r="D40" s="1077"/>
      <c r="E40" s="1077"/>
      <c r="F40" s="1077"/>
      <c r="G40" s="1077"/>
      <c r="H40" s="1077"/>
    </row>
    <row r="41" spans="1:13" ht="11.25" customHeight="1" x14ac:dyDescent="0.2">
      <c r="A41" s="1078"/>
      <c r="B41" s="1078"/>
      <c r="C41" s="1078"/>
      <c r="D41" s="1078"/>
      <c r="E41" s="1078"/>
      <c r="F41" s="1078"/>
      <c r="G41" s="1078"/>
      <c r="H41" s="1078"/>
    </row>
    <row r="42" spans="1:13" ht="11.25" customHeight="1" x14ac:dyDescent="0.2">
      <c r="A42" s="1071"/>
      <c r="B42" s="1071"/>
      <c r="C42" s="1071"/>
      <c r="D42" s="1071"/>
      <c r="E42" s="1071"/>
      <c r="F42" s="1071"/>
      <c r="G42" s="1071"/>
      <c r="H42" s="1071"/>
    </row>
    <row r="43" spans="1:13" ht="11.25" customHeight="1" x14ac:dyDescent="0.2">
      <c r="A43" s="1071"/>
      <c r="B43" s="1071"/>
      <c r="C43" s="1071"/>
      <c r="D43" s="1071"/>
      <c r="E43" s="1071"/>
      <c r="F43" s="1071"/>
      <c r="G43" s="1071"/>
      <c r="H43" s="1071"/>
    </row>
    <row r="45" spans="1:13" ht="11.25" customHeight="1" x14ac:dyDescent="0.2">
      <c r="A45" s="1050" t="s">
        <v>1024</v>
      </c>
      <c r="B45" s="1050"/>
      <c r="C45" s="1051" t="s">
        <v>1026</v>
      </c>
      <c r="D45" s="1051"/>
      <c r="E45" s="1051"/>
      <c r="F45" s="1050" t="s">
        <v>1028</v>
      </c>
      <c r="G45" s="1050"/>
      <c r="H45" s="1050"/>
    </row>
    <row r="46" spans="1:13" ht="11.25" customHeight="1" x14ac:dyDescent="0.2">
      <c r="A46" s="1050" t="s">
        <v>1025</v>
      </c>
      <c r="B46" s="1050"/>
      <c r="C46" s="1051" t="s">
        <v>1027</v>
      </c>
      <c r="D46" s="1051"/>
      <c r="E46" s="1051"/>
      <c r="F46" s="1050" t="s">
        <v>1029</v>
      </c>
      <c r="G46" s="1050"/>
      <c r="H46" s="1050"/>
    </row>
    <row r="47" spans="1:13" ht="11.25" customHeight="1" x14ac:dyDescent="0.2">
      <c r="D47" s="895" t="s">
        <v>1044</v>
      </c>
      <c r="F47" s="1032" t="s">
        <v>1041</v>
      </c>
      <c r="G47" s="1032"/>
      <c r="H47" s="1032"/>
    </row>
  </sheetData>
  <mergeCells count="18">
    <mergeCell ref="F25:F27"/>
    <mergeCell ref="A17:A18"/>
    <mergeCell ref="A11:F11"/>
    <mergeCell ref="A13:F13"/>
    <mergeCell ref="A14:F14"/>
    <mergeCell ref="A43:H43"/>
    <mergeCell ref="A36:A37"/>
    <mergeCell ref="A39:H39"/>
    <mergeCell ref="A40:H40"/>
    <mergeCell ref="A41:H41"/>
    <mergeCell ref="A42:H42"/>
    <mergeCell ref="F47:H47"/>
    <mergeCell ref="A45:B45"/>
    <mergeCell ref="A46:B46"/>
    <mergeCell ref="C45:E45"/>
    <mergeCell ref="C46:E46"/>
    <mergeCell ref="F45:H45"/>
    <mergeCell ref="F46:H46"/>
  </mergeCells>
  <printOptions horizontalCentered="1"/>
  <pageMargins left="0.27559055118110237" right="0.31496062992125984" top="0.59055118110236227" bottom="0.39370078740157483" header="0" footer="0.19685039370078741"/>
  <pageSetup paperSize="9" scale="73" orientation="landscape" r:id="rId1"/>
  <headerFooter alignWithMargins="0">
    <oddFooter>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2:I156"/>
  <sheetViews>
    <sheetView showGridLines="0" topLeftCell="A61" zoomScaleNormal="100" workbookViewId="0">
      <selection activeCell="H75" sqref="H75"/>
    </sheetView>
  </sheetViews>
  <sheetFormatPr defaultRowHeight="12.75" x14ac:dyDescent="0.2"/>
  <cols>
    <col min="1" max="1" width="75.7109375" style="334" customWidth="1"/>
    <col min="2" max="2" width="14.7109375" style="334" customWidth="1"/>
    <col min="3" max="3" width="13.5703125" style="334" customWidth="1"/>
    <col min="4" max="4" width="13" style="334" customWidth="1"/>
    <col min="5" max="5" width="11.5703125" style="334" customWidth="1"/>
    <col min="6" max="6" width="13" style="334" customWidth="1"/>
    <col min="7" max="7" width="11.28515625" style="334" customWidth="1"/>
    <col min="8" max="8" width="14.7109375" style="334" customWidth="1"/>
    <col min="9" max="16384" width="9.140625" style="334"/>
  </cols>
  <sheetData>
    <row r="2" spans="1:7" ht="25.5" customHeight="1" x14ac:dyDescent="0.35">
      <c r="A2" s="864" t="s">
        <v>1019</v>
      </c>
    </row>
    <row r="3" spans="1:7" ht="15.75" customHeight="1" x14ac:dyDescent="0.25">
      <c r="A3" s="865" t="s">
        <v>1020</v>
      </c>
    </row>
    <row r="4" spans="1:7" ht="15.75" customHeight="1" x14ac:dyDescent="0.25">
      <c r="A4" s="865" t="s">
        <v>1021</v>
      </c>
    </row>
    <row r="5" spans="1:7" ht="15.75" customHeight="1" x14ac:dyDescent="0.25">
      <c r="A5" s="865" t="s">
        <v>1022</v>
      </c>
    </row>
    <row r="6" spans="1:7" ht="15.75" x14ac:dyDescent="0.25">
      <c r="A6" s="45" t="s">
        <v>708</v>
      </c>
      <c r="B6" s="1"/>
      <c r="C6" s="1"/>
      <c r="D6" s="1"/>
      <c r="E6" s="1"/>
    </row>
    <row r="7" spans="1:7" x14ac:dyDescent="0.2">
      <c r="A7" s="31"/>
      <c r="B7" s="31"/>
      <c r="C7" s="31"/>
      <c r="D7" s="31"/>
      <c r="E7" s="31"/>
    </row>
    <row r="8" spans="1:7" x14ac:dyDescent="0.2">
      <c r="A8" s="17" t="s">
        <v>1019</v>
      </c>
      <c r="B8" s="218"/>
      <c r="C8" s="218"/>
      <c r="D8" s="218"/>
      <c r="E8" s="218"/>
      <c r="F8" s="218"/>
      <c r="G8" s="218"/>
    </row>
    <row r="9" spans="1:7" x14ac:dyDescent="0.2">
      <c r="A9" s="218" t="s">
        <v>74</v>
      </c>
      <c r="B9" s="218"/>
      <c r="C9" s="218"/>
      <c r="D9" s="218"/>
      <c r="E9" s="218"/>
      <c r="F9" s="218"/>
      <c r="G9" s="218"/>
    </row>
    <row r="10" spans="1:7" x14ac:dyDescent="0.2">
      <c r="A10" s="217" t="s">
        <v>396</v>
      </c>
      <c r="B10" s="217"/>
      <c r="C10" s="217"/>
      <c r="D10" s="217"/>
      <c r="E10" s="217"/>
      <c r="F10" s="217"/>
      <c r="G10" s="217"/>
    </row>
    <row r="11" spans="1:7" x14ac:dyDescent="0.2">
      <c r="A11" s="920" t="s">
        <v>76</v>
      </c>
      <c r="B11" s="920"/>
      <c r="C11" s="920"/>
      <c r="D11" s="920"/>
      <c r="E11" s="920"/>
      <c r="F11" s="920"/>
      <c r="G11" s="920"/>
    </row>
    <row r="12" spans="1:7" x14ac:dyDescent="0.2">
      <c r="A12" s="4" t="s">
        <v>1023</v>
      </c>
      <c r="B12" s="766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31"/>
      <c r="D12" s="31"/>
      <c r="E12" s="31"/>
      <c r="F12" s="31"/>
      <c r="G12" s="31"/>
    </row>
    <row r="13" spans="1:7" hidden="1" x14ac:dyDescent="0.2">
      <c r="A13" s="920"/>
      <c r="B13" s="920"/>
      <c r="C13" s="920"/>
      <c r="D13" s="920"/>
      <c r="E13" s="920"/>
      <c r="F13" s="920"/>
      <c r="G13" s="920"/>
    </row>
    <row r="14" spans="1:7" hidden="1" x14ac:dyDescent="0.2">
      <c r="A14" s="920"/>
      <c r="B14" s="920"/>
      <c r="C14" s="920"/>
      <c r="D14" s="920"/>
      <c r="E14" s="920"/>
      <c r="F14" s="920"/>
      <c r="G14" s="920"/>
    </row>
    <row r="15" spans="1:7" x14ac:dyDescent="0.2">
      <c r="A15" s="31"/>
      <c r="B15" s="31"/>
      <c r="C15" s="31"/>
      <c r="D15" s="31"/>
      <c r="E15" s="31"/>
    </row>
    <row r="16" spans="1:7" x14ac:dyDescent="0.2">
      <c r="A16" s="335" t="s">
        <v>415</v>
      </c>
      <c r="B16" s="28"/>
      <c r="C16" s="28"/>
      <c r="D16" s="28"/>
      <c r="E16" s="34">
        <v>1</v>
      </c>
    </row>
    <row r="17" spans="1:5" x14ac:dyDescent="0.2">
      <c r="A17" s="336"/>
      <c r="B17" s="156" t="s">
        <v>77</v>
      </c>
      <c r="C17" s="156" t="s">
        <v>77</v>
      </c>
      <c r="D17" s="1086" t="s">
        <v>78</v>
      </c>
      <c r="E17" s="1087"/>
    </row>
    <row r="18" spans="1:5" x14ac:dyDescent="0.2">
      <c r="A18" s="337" t="s">
        <v>397</v>
      </c>
      <c r="B18" s="158" t="s">
        <v>80</v>
      </c>
      <c r="C18" s="158" t="s">
        <v>81</v>
      </c>
      <c r="D18" s="338" t="str">
        <f>CONCATENATE("Até o  ", B12)</f>
        <v>Até o  Bimestre</v>
      </c>
      <c r="E18" s="156" t="s">
        <v>83</v>
      </c>
    </row>
    <row r="19" spans="1:5" x14ac:dyDescent="0.2">
      <c r="A19" s="339"/>
      <c r="B19" s="340"/>
      <c r="C19" s="341" t="s">
        <v>85</v>
      </c>
      <c r="D19" s="341" t="s">
        <v>86</v>
      </c>
      <c r="E19" s="158" t="s">
        <v>179</v>
      </c>
    </row>
    <row r="20" spans="1:5" x14ac:dyDescent="0.2">
      <c r="A20" s="342" t="s">
        <v>407</v>
      </c>
      <c r="B20" s="312">
        <f>SUM(B21:B28)</f>
        <v>251018500</v>
      </c>
      <c r="C20" s="312">
        <f>SUM(C21:C28)</f>
        <v>252066009.31999999</v>
      </c>
      <c r="D20" s="315">
        <f>SUM(D21:D28)</f>
        <v>299031952.75</v>
      </c>
      <c r="E20" s="312">
        <f t="shared" ref="E20:E38" si="0">IF(C20&gt;0,D20/C20*100,0)</f>
        <v>118.63239853588365</v>
      </c>
    </row>
    <row r="21" spans="1:5" x14ac:dyDescent="0.2">
      <c r="A21" s="343" t="s">
        <v>634</v>
      </c>
      <c r="B21" s="314">
        <v>100000000</v>
      </c>
      <c r="C21" s="314">
        <v>100000000</v>
      </c>
      <c r="D21" s="316">
        <v>104640967.2</v>
      </c>
      <c r="E21" s="314">
        <f t="shared" si="0"/>
        <v>104.64096720000001</v>
      </c>
    </row>
    <row r="22" spans="1:5" x14ac:dyDescent="0.2">
      <c r="A22" s="343" t="s">
        <v>635</v>
      </c>
      <c r="B22" s="314">
        <v>24000000</v>
      </c>
      <c r="C22" s="314">
        <v>24000000</v>
      </c>
      <c r="D22" s="316">
        <v>34603337.229999997</v>
      </c>
      <c r="E22" s="314">
        <f t="shared" si="0"/>
        <v>144.18057179166667</v>
      </c>
    </row>
    <row r="23" spans="1:5" x14ac:dyDescent="0.2">
      <c r="A23" s="343" t="s">
        <v>636</v>
      </c>
      <c r="B23" s="314">
        <v>82880000</v>
      </c>
      <c r="C23" s="314">
        <v>82880000</v>
      </c>
      <c r="D23" s="316">
        <v>95996951.180000007</v>
      </c>
      <c r="E23" s="314">
        <f t="shared" si="0"/>
        <v>115.826437234556</v>
      </c>
    </row>
    <row r="24" spans="1:5" x14ac:dyDescent="0.2">
      <c r="A24" s="343" t="s">
        <v>398</v>
      </c>
      <c r="B24" s="314">
        <v>28350000</v>
      </c>
      <c r="C24" s="314">
        <v>29397509.32</v>
      </c>
      <c r="D24" s="316">
        <v>39764183.850000001</v>
      </c>
      <c r="E24" s="314">
        <f t="shared" si="0"/>
        <v>135.263785163416</v>
      </c>
    </row>
    <row r="25" spans="1:5" x14ac:dyDescent="0.2">
      <c r="A25" s="343" t="s">
        <v>637</v>
      </c>
      <c r="B25" s="314"/>
      <c r="C25" s="314"/>
      <c r="D25" s="316"/>
      <c r="E25" s="314">
        <f t="shared" si="0"/>
        <v>0</v>
      </c>
    </row>
    <row r="26" spans="1:5" x14ac:dyDescent="0.2">
      <c r="A26" s="343" t="s">
        <v>408</v>
      </c>
      <c r="B26" s="314">
        <v>1780000</v>
      </c>
      <c r="C26" s="314">
        <v>1780000</v>
      </c>
      <c r="D26" s="316">
        <v>2297648.84</v>
      </c>
      <c r="E26" s="314">
        <f t="shared" si="0"/>
        <v>129.08139550561796</v>
      </c>
    </row>
    <row r="27" spans="1:5" x14ac:dyDescent="0.2">
      <c r="A27" s="343" t="s">
        <v>409</v>
      </c>
      <c r="B27" s="314">
        <v>10795000</v>
      </c>
      <c r="C27" s="314">
        <v>10795000</v>
      </c>
      <c r="D27" s="316">
        <v>15777026.51</v>
      </c>
      <c r="E27" s="314">
        <f t="shared" si="0"/>
        <v>146.15124140805929</v>
      </c>
    </row>
    <row r="28" spans="1:5" x14ac:dyDescent="0.2">
      <c r="A28" s="343" t="s">
        <v>410</v>
      </c>
      <c r="B28" s="314">
        <v>3213500</v>
      </c>
      <c r="C28" s="314">
        <v>3213500</v>
      </c>
      <c r="D28" s="316">
        <v>5951837.9400000004</v>
      </c>
      <c r="E28" s="314">
        <f t="shared" si="0"/>
        <v>185.21356589388517</v>
      </c>
    </row>
    <row r="29" spans="1:5" x14ac:dyDescent="0.2">
      <c r="A29" s="343" t="s">
        <v>546</v>
      </c>
      <c r="B29" s="314">
        <f>SUM(B30:B35)</f>
        <v>375750000</v>
      </c>
      <c r="C29" s="314">
        <f>SUM(C30:C35)</f>
        <v>375750000</v>
      </c>
      <c r="D29" s="316">
        <f>SUM(D30:D35)</f>
        <v>389743828</v>
      </c>
      <c r="E29" s="314">
        <f t="shared" si="0"/>
        <v>103.72423898868929</v>
      </c>
    </row>
    <row r="30" spans="1:5" x14ac:dyDescent="0.2">
      <c r="A30" s="343" t="s">
        <v>638</v>
      </c>
      <c r="B30" s="314">
        <v>70000000</v>
      </c>
      <c r="C30" s="314">
        <v>70000000</v>
      </c>
      <c r="D30" s="316">
        <v>68861571.469999999</v>
      </c>
      <c r="E30" s="314">
        <f t="shared" si="0"/>
        <v>98.37367352857143</v>
      </c>
    </row>
    <row r="31" spans="1:5" x14ac:dyDescent="0.2">
      <c r="A31" s="343" t="s">
        <v>639</v>
      </c>
      <c r="B31" s="314">
        <v>950000</v>
      </c>
      <c r="C31" s="314">
        <v>950000</v>
      </c>
      <c r="D31" s="316">
        <v>793121.23</v>
      </c>
      <c r="E31" s="314">
        <f t="shared" si="0"/>
        <v>83.48644526315789</v>
      </c>
    </row>
    <row r="32" spans="1:5" x14ac:dyDescent="0.2">
      <c r="A32" s="343" t="s">
        <v>640</v>
      </c>
      <c r="B32" s="314">
        <v>61000000</v>
      </c>
      <c r="C32" s="314">
        <v>61000000</v>
      </c>
      <c r="D32" s="316">
        <v>64865686.039999999</v>
      </c>
      <c r="E32" s="314">
        <f t="shared" si="0"/>
        <v>106.33719022950821</v>
      </c>
    </row>
    <row r="33" spans="1:8" x14ac:dyDescent="0.2">
      <c r="A33" s="343" t="s">
        <v>641</v>
      </c>
      <c r="B33" s="314">
        <v>241000000</v>
      </c>
      <c r="C33" s="314">
        <v>241000000</v>
      </c>
      <c r="D33" s="316">
        <v>253427277.43000001</v>
      </c>
      <c r="E33" s="314">
        <f t="shared" si="0"/>
        <v>105.15654665145229</v>
      </c>
    </row>
    <row r="34" spans="1:8" x14ac:dyDescent="0.2">
      <c r="A34" s="343" t="s">
        <v>411</v>
      </c>
      <c r="B34" s="314">
        <v>1700000</v>
      </c>
      <c r="C34" s="314">
        <v>1700000</v>
      </c>
      <c r="D34" s="316">
        <v>1796171.83</v>
      </c>
      <c r="E34" s="314">
        <f t="shared" si="0"/>
        <v>105.65716647058825</v>
      </c>
    </row>
    <row r="35" spans="1:8" x14ac:dyDescent="0.2">
      <c r="A35" s="343" t="s">
        <v>412</v>
      </c>
      <c r="B35" s="314">
        <f>B36+B37</f>
        <v>1100000</v>
      </c>
      <c r="C35" s="314">
        <f>C36+C37</f>
        <v>1100000</v>
      </c>
      <c r="D35" s="316">
        <f>D36+D37</f>
        <v>0</v>
      </c>
      <c r="E35" s="314">
        <f t="shared" si="0"/>
        <v>0</v>
      </c>
    </row>
    <row r="36" spans="1:8" x14ac:dyDescent="0.2">
      <c r="A36" s="343" t="s">
        <v>413</v>
      </c>
      <c r="B36" s="314">
        <v>1100000</v>
      </c>
      <c r="C36" s="314">
        <v>1100000</v>
      </c>
      <c r="D36" s="316">
        <v>0</v>
      </c>
      <c r="E36" s="314">
        <f t="shared" si="0"/>
        <v>0</v>
      </c>
    </row>
    <row r="37" spans="1:8" x14ac:dyDescent="0.2">
      <c r="A37" s="707" t="s">
        <v>414</v>
      </c>
      <c r="B37" s="317"/>
      <c r="C37" s="317"/>
      <c r="D37" s="344"/>
      <c r="E37" s="317">
        <f t="shared" si="0"/>
        <v>0</v>
      </c>
    </row>
    <row r="38" spans="1:8" ht="21.75" x14ac:dyDescent="0.2">
      <c r="A38" s="345" t="s">
        <v>642</v>
      </c>
      <c r="B38" s="318">
        <f>B20+B29</f>
        <v>626768500</v>
      </c>
      <c r="C38" s="318">
        <f>C20+C29</f>
        <v>627816009.31999993</v>
      </c>
      <c r="D38" s="318">
        <f>D20+D29</f>
        <v>688775780.75</v>
      </c>
      <c r="E38" s="317">
        <f t="shared" si="0"/>
        <v>109.70981474270253</v>
      </c>
    </row>
    <row r="39" spans="1:8" x14ac:dyDescent="0.2">
      <c r="A39" s="2"/>
      <c r="B39" s="347"/>
      <c r="C39" s="2"/>
      <c r="D39" s="2"/>
      <c r="E39" s="2"/>
      <c r="F39" s="2"/>
      <c r="G39" s="2"/>
      <c r="H39" s="348"/>
    </row>
    <row r="40" spans="1:8" x14ac:dyDescent="0.2">
      <c r="A40" s="349" t="s">
        <v>399</v>
      </c>
      <c r="B40" s="156" t="s">
        <v>77</v>
      </c>
      <c r="C40" s="156" t="s">
        <v>77</v>
      </c>
      <c r="D40" s="1086" t="s">
        <v>78</v>
      </c>
      <c r="E40" s="1087"/>
    </row>
    <row r="41" spans="1:8" x14ac:dyDescent="0.2">
      <c r="A41" s="350"/>
      <c r="B41" s="158" t="s">
        <v>80</v>
      </c>
      <c r="C41" s="158" t="s">
        <v>81</v>
      </c>
      <c r="D41" s="338" t="str">
        <f>CONCATENATE("Até o  ", B12)</f>
        <v>Até o  Bimestre</v>
      </c>
      <c r="E41" s="156" t="s">
        <v>83</v>
      </c>
    </row>
    <row r="42" spans="1:8" x14ac:dyDescent="0.2">
      <c r="A42" s="351"/>
      <c r="B42" s="340"/>
      <c r="C42" s="341" t="s">
        <v>106</v>
      </c>
      <c r="D42" s="341" t="s">
        <v>114</v>
      </c>
      <c r="E42" s="158" t="s">
        <v>180</v>
      </c>
    </row>
    <row r="43" spans="1:8" x14ac:dyDescent="0.2">
      <c r="A43" s="352" t="s">
        <v>354</v>
      </c>
      <c r="B43" s="315">
        <f>SUM(B44:B47)</f>
        <v>49537000</v>
      </c>
      <c r="C43" s="315">
        <f>SUM(C44:C47)</f>
        <v>50999200.189999998</v>
      </c>
      <c r="D43" s="315">
        <f>SUM(D44:D47)</f>
        <v>53059507.979999997</v>
      </c>
      <c r="E43" s="312">
        <f t="shared" ref="E43:E51" si="1">IF(C43&gt;0,D43/C43*100,0)</f>
        <v>104.03988255173458</v>
      </c>
    </row>
    <row r="44" spans="1:8" x14ac:dyDescent="0.2">
      <c r="A44" s="352" t="s">
        <v>400</v>
      </c>
      <c r="B44" s="316">
        <v>48714000</v>
      </c>
      <c r="C44" s="316">
        <v>49608817.549999997</v>
      </c>
      <c r="D44" s="316">
        <v>51277362.979999997</v>
      </c>
      <c r="E44" s="314">
        <f t="shared" si="1"/>
        <v>103.36340495985073</v>
      </c>
    </row>
    <row r="45" spans="1:8" x14ac:dyDescent="0.2">
      <c r="A45" s="352" t="s">
        <v>643</v>
      </c>
      <c r="B45" s="316">
        <v>823000</v>
      </c>
      <c r="C45" s="316">
        <v>1390382.64</v>
      </c>
      <c r="D45" s="316">
        <v>1782145</v>
      </c>
      <c r="E45" s="314">
        <f t="shared" si="1"/>
        <v>128.17658597923807</v>
      </c>
    </row>
    <row r="46" spans="1:8" x14ac:dyDescent="0.2">
      <c r="A46" s="352" t="s">
        <v>644</v>
      </c>
      <c r="B46" s="316"/>
      <c r="C46" s="316"/>
      <c r="D46" s="316"/>
      <c r="E46" s="314">
        <f t="shared" si="1"/>
        <v>0</v>
      </c>
    </row>
    <row r="47" spans="1:8" x14ac:dyDescent="0.2">
      <c r="A47" s="352" t="s">
        <v>547</v>
      </c>
      <c r="B47" s="316"/>
      <c r="C47" s="316"/>
      <c r="D47" s="316"/>
      <c r="E47" s="314">
        <f t="shared" si="1"/>
        <v>0</v>
      </c>
    </row>
    <row r="48" spans="1:8" x14ac:dyDescent="0.2">
      <c r="A48" s="352" t="s">
        <v>401</v>
      </c>
      <c r="B48" s="316">
        <v>0</v>
      </c>
      <c r="C48" s="316">
        <v>127500</v>
      </c>
      <c r="D48" s="316">
        <v>0</v>
      </c>
      <c r="E48" s="314">
        <f t="shared" si="1"/>
        <v>0</v>
      </c>
    </row>
    <row r="49" spans="1:8" x14ac:dyDescent="0.2">
      <c r="A49" s="352" t="s">
        <v>352</v>
      </c>
      <c r="B49" s="316"/>
      <c r="C49" s="316"/>
      <c r="D49" s="316"/>
      <c r="E49" s="314">
        <f t="shared" si="1"/>
        <v>0</v>
      </c>
    </row>
    <row r="50" spans="1:8" x14ac:dyDescent="0.2">
      <c r="A50" s="353" t="s">
        <v>548</v>
      </c>
      <c r="B50" s="344">
        <v>832500</v>
      </c>
      <c r="C50" s="344">
        <v>1585508.72</v>
      </c>
      <c r="D50" s="316">
        <v>1837543.55</v>
      </c>
      <c r="E50" s="317">
        <f t="shared" si="1"/>
        <v>115.89614909213492</v>
      </c>
    </row>
    <row r="51" spans="1:8" x14ac:dyDescent="0.2">
      <c r="A51" s="354" t="s">
        <v>402</v>
      </c>
      <c r="B51" s="318">
        <f>B43+B48+B49+B50</f>
        <v>50369500</v>
      </c>
      <c r="C51" s="318">
        <f>C43+C48+C49+C50</f>
        <v>52712208.909999996</v>
      </c>
      <c r="D51" s="318">
        <f>D43+D48+D49+D50</f>
        <v>54897051.529999994</v>
      </c>
      <c r="E51" s="314">
        <f t="shared" si="1"/>
        <v>104.14485119326029</v>
      </c>
    </row>
    <row r="52" spans="1:8" x14ac:dyDescent="0.2">
      <c r="A52" s="347"/>
      <c r="B52" s="355"/>
      <c r="C52" s="355"/>
      <c r="D52" s="355"/>
      <c r="E52" s="355"/>
      <c r="F52" s="348"/>
      <c r="G52" s="348"/>
      <c r="H52" s="348"/>
    </row>
    <row r="53" spans="1:8" ht="31.5" x14ac:dyDescent="0.2">
      <c r="A53" s="356" t="s">
        <v>216</v>
      </c>
      <c r="B53" s="156" t="s">
        <v>109</v>
      </c>
      <c r="C53" s="156" t="s">
        <v>109</v>
      </c>
      <c r="D53" s="1084" t="s">
        <v>110</v>
      </c>
      <c r="E53" s="1095"/>
      <c r="F53" s="1084" t="s">
        <v>111</v>
      </c>
      <c r="G53" s="1095"/>
      <c r="H53" s="131" t="s">
        <v>728</v>
      </c>
    </row>
    <row r="54" spans="1:8" x14ac:dyDescent="0.2">
      <c r="A54" s="357"/>
      <c r="B54" s="158" t="s">
        <v>80</v>
      </c>
      <c r="C54" s="158" t="s">
        <v>81</v>
      </c>
      <c r="D54" s="156" t="str">
        <f>CONCATENATE("Até o  ", B12)</f>
        <v>Até o  Bimestre</v>
      </c>
      <c r="E54" s="358" t="s">
        <v>83</v>
      </c>
      <c r="F54" s="156" t="str">
        <f>CONCATENATE("Até o  ", B12)</f>
        <v>Até o  Bimestre</v>
      </c>
      <c r="G54" s="358" t="s">
        <v>83</v>
      </c>
      <c r="H54" s="132"/>
    </row>
    <row r="55" spans="1:8" x14ac:dyDescent="0.2">
      <c r="A55" s="359" t="s">
        <v>217</v>
      </c>
      <c r="B55" s="340"/>
      <c r="C55" s="341" t="s">
        <v>115</v>
      </c>
      <c r="D55" s="161" t="s">
        <v>200</v>
      </c>
      <c r="E55" s="360" t="s">
        <v>403</v>
      </c>
      <c r="F55" s="161" t="s">
        <v>116</v>
      </c>
      <c r="G55" s="360" t="s">
        <v>404</v>
      </c>
      <c r="H55" s="361"/>
    </row>
    <row r="56" spans="1:8" x14ac:dyDescent="0.2">
      <c r="A56" s="362" t="s">
        <v>118</v>
      </c>
      <c r="B56" s="312">
        <f>SUM(B57:B59)</f>
        <v>257656300</v>
      </c>
      <c r="C56" s="312">
        <f>SUM(C57:C59)</f>
        <v>307422215.21000004</v>
      </c>
      <c r="D56" s="312">
        <f>SUM(D57:D59)</f>
        <v>292423774.71000004</v>
      </c>
      <c r="E56" s="313">
        <f t="shared" ref="E56:E64" si="2">IF(C56&gt;0,D56/C56*100,0)</f>
        <v>95.121224245373881</v>
      </c>
      <c r="F56" s="312">
        <f>SUM(F57:F59)</f>
        <v>279811557.45000005</v>
      </c>
      <c r="G56" s="313">
        <f t="shared" ref="G56:G64" si="3">IF(C56&gt;0,F56/C56*100,0)</f>
        <v>91.018652395976275</v>
      </c>
      <c r="H56" s="312">
        <f>SUM(H57:H59)</f>
        <v>12612217.26</v>
      </c>
    </row>
    <row r="57" spans="1:8" x14ac:dyDescent="0.2">
      <c r="A57" s="7" t="s">
        <v>162</v>
      </c>
      <c r="B57" s="314">
        <v>98323500</v>
      </c>
      <c r="C57" s="314">
        <v>118130775.59999999</v>
      </c>
      <c r="D57" s="314">
        <v>115488806.34</v>
      </c>
      <c r="E57" s="313">
        <f t="shared" si="2"/>
        <v>97.76352161696974</v>
      </c>
      <c r="F57" s="314">
        <v>115488806.34</v>
      </c>
      <c r="G57" s="313">
        <f t="shared" si="3"/>
        <v>97.76352161696974</v>
      </c>
      <c r="H57" s="314">
        <v>0</v>
      </c>
    </row>
    <row r="58" spans="1:8" x14ac:dyDescent="0.2">
      <c r="A58" s="7" t="s">
        <v>218</v>
      </c>
      <c r="B58" s="314"/>
      <c r="C58" s="314"/>
      <c r="D58" s="314"/>
      <c r="E58" s="313">
        <f t="shared" si="2"/>
        <v>0</v>
      </c>
      <c r="F58" s="314"/>
      <c r="G58" s="313">
        <f t="shared" si="3"/>
        <v>0</v>
      </c>
      <c r="H58" s="314"/>
    </row>
    <row r="59" spans="1:8" x14ac:dyDescent="0.2">
      <c r="A59" s="7" t="s">
        <v>163</v>
      </c>
      <c r="B59" s="314">
        <v>159332800</v>
      </c>
      <c r="C59" s="314">
        <v>189291439.61000001</v>
      </c>
      <c r="D59" s="314">
        <v>176934968.37</v>
      </c>
      <c r="E59" s="313">
        <f t="shared" si="2"/>
        <v>93.47225037462961</v>
      </c>
      <c r="F59" s="314">
        <v>164322751.11000001</v>
      </c>
      <c r="G59" s="313">
        <f t="shared" si="3"/>
        <v>86.809393730935028</v>
      </c>
      <c r="H59" s="314">
        <v>12612217.26</v>
      </c>
    </row>
    <row r="60" spans="1:8" x14ac:dyDescent="0.2">
      <c r="A60" s="7" t="s">
        <v>119</v>
      </c>
      <c r="B60" s="314">
        <f>SUM(B61:B63)</f>
        <v>819500</v>
      </c>
      <c r="C60" s="314">
        <f>SUM(C61:C63)</f>
        <v>8303275.8099999996</v>
      </c>
      <c r="D60" s="314">
        <f>SUM(D61:D63)</f>
        <v>7531368.2999999998</v>
      </c>
      <c r="E60" s="313">
        <f t="shared" si="2"/>
        <v>90.703578591592034</v>
      </c>
      <c r="F60" s="314">
        <f>SUM(F61:F63)</f>
        <v>5021416.92</v>
      </c>
      <c r="G60" s="313">
        <f t="shared" si="3"/>
        <v>60.475130959187062</v>
      </c>
      <c r="H60" s="314">
        <f>SUM(H61:H63)</f>
        <v>2509951.38</v>
      </c>
    </row>
    <row r="61" spans="1:8" x14ac:dyDescent="0.2">
      <c r="A61" s="7" t="s">
        <v>219</v>
      </c>
      <c r="B61" s="314">
        <v>819500</v>
      </c>
      <c r="C61" s="314">
        <v>8303275.8099999996</v>
      </c>
      <c r="D61" s="314">
        <v>7531368.2999999998</v>
      </c>
      <c r="E61" s="313">
        <f t="shared" si="2"/>
        <v>90.703578591592034</v>
      </c>
      <c r="F61" s="314">
        <v>5021416.92</v>
      </c>
      <c r="G61" s="313">
        <f t="shared" si="3"/>
        <v>60.475130959187062</v>
      </c>
      <c r="H61" s="314">
        <v>2509951.38</v>
      </c>
    </row>
    <row r="62" spans="1:8" x14ac:dyDescent="0.2">
      <c r="A62" s="7" t="s">
        <v>220</v>
      </c>
      <c r="B62" s="314"/>
      <c r="C62" s="314"/>
      <c r="D62" s="314"/>
      <c r="E62" s="313">
        <f t="shared" si="2"/>
        <v>0</v>
      </c>
      <c r="F62" s="314"/>
      <c r="G62" s="313">
        <f t="shared" si="3"/>
        <v>0</v>
      </c>
      <c r="H62" s="314"/>
    </row>
    <row r="63" spans="1:8" x14ac:dyDescent="0.2">
      <c r="A63" s="7" t="s">
        <v>221</v>
      </c>
      <c r="B63" s="314"/>
      <c r="C63" s="314"/>
      <c r="D63" s="314"/>
      <c r="E63" s="313">
        <f t="shared" si="2"/>
        <v>0</v>
      </c>
      <c r="F63" s="314"/>
      <c r="G63" s="313">
        <f t="shared" si="3"/>
        <v>0</v>
      </c>
      <c r="H63" s="314"/>
    </row>
    <row r="64" spans="1:8" x14ac:dyDescent="0.2">
      <c r="A64" s="363" t="s">
        <v>645</v>
      </c>
      <c r="B64" s="318">
        <f>B56+B60</f>
        <v>258475800</v>
      </c>
      <c r="C64" s="318">
        <f>C56+C60</f>
        <v>315725491.02000004</v>
      </c>
      <c r="D64" s="318">
        <f>D56+D60</f>
        <v>299955143.01000005</v>
      </c>
      <c r="E64" s="318">
        <f t="shared" si="2"/>
        <v>95.005044426710228</v>
      </c>
      <c r="F64" s="318">
        <f>F56+F60</f>
        <v>284832974.37000006</v>
      </c>
      <c r="G64" s="318">
        <f t="shared" si="3"/>
        <v>90.215387249791917</v>
      </c>
      <c r="H64" s="318">
        <f>H56+H60</f>
        <v>15122168.640000001</v>
      </c>
    </row>
    <row r="65" spans="1:8" x14ac:dyDescent="0.2">
      <c r="A65" s="364"/>
      <c r="B65" s="364"/>
      <c r="C65" s="2"/>
      <c r="D65" s="2"/>
      <c r="E65" s="2"/>
      <c r="F65" s="348"/>
      <c r="G65" s="348"/>
      <c r="H65" s="348"/>
    </row>
    <row r="66" spans="1:8" ht="31.5" x14ac:dyDescent="0.2">
      <c r="A66" s="365" t="s">
        <v>374</v>
      </c>
      <c r="B66" s="156" t="s">
        <v>109</v>
      </c>
      <c r="C66" s="156" t="s">
        <v>109</v>
      </c>
      <c r="D66" s="1084" t="s">
        <v>110</v>
      </c>
      <c r="E66" s="1095"/>
      <c r="F66" s="1084" t="s">
        <v>111</v>
      </c>
      <c r="G66" s="1095"/>
      <c r="H66" s="131" t="s">
        <v>728</v>
      </c>
    </row>
    <row r="67" spans="1:8" x14ac:dyDescent="0.2">
      <c r="A67" s="366"/>
      <c r="B67" s="158" t="s">
        <v>80</v>
      </c>
      <c r="C67" s="158" t="s">
        <v>81</v>
      </c>
      <c r="D67" s="156" t="str">
        <f>CONCATENATE("Até o  ", B12)</f>
        <v>Até o  Bimestre</v>
      </c>
      <c r="E67" s="358" t="s">
        <v>83</v>
      </c>
      <c r="F67" s="156" t="str">
        <f>CONCATENATE("Até o  ", B12)</f>
        <v>Até o  Bimestre</v>
      </c>
      <c r="G67" s="358" t="s">
        <v>83</v>
      </c>
      <c r="H67" s="132"/>
    </row>
    <row r="68" spans="1:8" x14ac:dyDescent="0.2">
      <c r="A68" s="367"/>
      <c r="B68" s="368"/>
      <c r="C68" s="368"/>
      <c r="D68" s="161" t="s">
        <v>117</v>
      </c>
      <c r="E68" s="360" t="s">
        <v>646</v>
      </c>
      <c r="F68" s="161" t="s">
        <v>353</v>
      </c>
      <c r="G68" s="360" t="s">
        <v>647</v>
      </c>
      <c r="H68" s="361"/>
    </row>
    <row r="69" spans="1:8" x14ac:dyDescent="0.2">
      <c r="A69" s="369" t="s">
        <v>375</v>
      </c>
      <c r="B69" s="370"/>
      <c r="C69" s="370"/>
      <c r="D69" s="370"/>
      <c r="E69" s="313">
        <f t="shared" ref="E69:E79" si="4">IF($D$64&gt;0,D69/$D$64*100,0)</f>
        <v>0</v>
      </c>
      <c r="F69" s="445"/>
      <c r="G69" s="312">
        <f t="shared" ref="G69:G79" si="5">IF($F$64&gt;0,F69/$F$64*100,0)</f>
        <v>0</v>
      </c>
      <c r="H69" s="370"/>
    </row>
    <row r="70" spans="1:8" x14ac:dyDescent="0.2">
      <c r="A70" s="372" t="s">
        <v>376</v>
      </c>
      <c r="B70" s="373"/>
      <c r="C70" s="373"/>
      <c r="D70" s="373"/>
      <c r="E70" s="313">
        <f t="shared" si="4"/>
        <v>0</v>
      </c>
      <c r="F70" s="446"/>
      <c r="G70" s="314">
        <f t="shared" si="5"/>
        <v>0</v>
      </c>
      <c r="H70" s="373"/>
    </row>
    <row r="71" spans="1:8" x14ac:dyDescent="0.2">
      <c r="A71" s="372" t="s">
        <v>405</v>
      </c>
      <c r="B71" s="373">
        <f>SUM(B72:B74)</f>
        <v>86211300</v>
      </c>
      <c r="C71" s="373">
        <f>SUM(C72:C74)</f>
        <v>112512209.54000001</v>
      </c>
      <c r="D71" s="373">
        <f>SUM(D72:D74)</f>
        <v>103635095.28</v>
      </c>
      <c r="E71" s="313">
        <f t="shared" si="4"/>
        <v>34.550197819593635</v>
      </c>
      <c r="F71" s="446">
        <f>SUM(F72:F74)</f>
        <v>99453322.189999998</v>
      </c>
      <c r="G71" s="314">
        <f t="shared" si="5"/>
        <v>34.916365427834705</v>
      </c>
      <c r="H71" s="373">
        <f>SUM(H72:H74)</f>
        <v>4181773.09</v>
      </c>
    </row>
    <row r="72" spans="1:8" x14ac:dyDescent="0.2">
      <c r="A72" s="352" t="s">
        <v>406</v>
      </c>
      <c r="B72" s="316"/>
      <c r="C72" s="316"/>
      <c r="D72" s="314"/>
      <c r="E72" s="313">
        <f t="shared" si="4"/>
        <v>0</v>
      </c>
      <c r="F72" s="316"/>
      <c r="G72" s="314">
        <f t="shared" si="5"/>
        <v>0</v>
      </c>
      <c r="H72" s="314"/>
    </row>
    <row r="73" spans="1:8" x14ac:dyDescent="0.2">
      <c r="A73" s="352" t="s">
        <v>377</v>
      </c>
      <c r="B73" s="316"/>
      <c r="C73" s="316"/>
      <c r="D73" s="314"/>
      <c r="E73" s="313">
        <f t="shared" si="4"/>
        <v>0</v>
      </c>
      <c r="F73" s="316"/>
      <c r="G73" s="314">
        <f t="shared" si="5"/>
        <v>0</v>
      </c>
      <c r="H73" s="314"/>
    </row>
    <row r="74" spans="1:8" x14ac:dyDescent="0.2">
      <c r="A74" s="376" t="s">
        <v>378</v>
      </c>
      <c r="B74" s="316">
        <v>86211300</v>
      </c>
      <c r="C74" s="316">
        <v>112512209.54000001</v>
      </c>
      <c r="D74" s="314">
        <v>103635095.28</v>
      </c>
      <c r="E74" s="313">
        <f t="shared" si="4"/>
        <v>34.550197819593635</v>
      </c>
      <c r="F74" s="316">
        <v>99453322.189999998</v>
      </c>
      <c r="G74" s="314">
        <f t="shared" si="5"/>
        <v>34.916365427834705</v>
      </c>
      <c r="H74" s="314">
        <v>4181773.09</v>
      </c>
    </row>
    <row r="75" spans="1:8" x14ac:dyDescent="0.2">
      <c r="A75" s="377" t="s">
        <v>379</v>
      </c>
      <c r="B75" s="316"/>
      <c r="C75" s="316"/>
      <c r="D75" s="314"/>
      <c r="E75" s="313">
        <f t="shared" si="4"/>
        <v>0</v>
      </c>
      <c r="F75" s="316"/>
      <c r="G75" s="314">
        <f t="shared" si="5"/>
        <v>0</v>
      </c>
      <c r="H75" s="314"/>
    </row>
    <row r="76" spans="1:8" ht="22.5" x14ac:dyDescent="0.2">
      <c r="A76" s="378" t="s">
        <v>729</v>
      </c>
      <c r="B76" s="379">
        <v>0</v>
      </c>
      <c r="C76" s="379">
        <v>0</v>
      </c>
      <c r="D76" s="444">
        <v>0</v>
      </c>
      <c r="E76" s="313">
        <f t="shared" si="4"/>
        <v>0</v>
      </c>
      <c r="F76" s="379">
        <v>0</v>
      </c>
      <c r="G76" s="314">
        <f t="shared" si="5"/>
        <v>0</v>
      </c>
      <c r="H76" s="444">
        <v>0</v>
      </c>
    </row>
    <row r="77" spans="1:8" ht="22.5" x14ac:dyDescent="0.2">
      <c r="A77" s="380" t="s">
        <v>730</v>
      </c>
      <c r="B77" s="316"/>
      <c r="C77" s="316"/>
      <c r="D77" s="314"/>
      <c r="E77" s="313">
        <f t="shared" si="4"/>
        <v>0</v>
      </c>
      <c r="F77" s="316"/>
      <c r="G77" s="314">
        <f t="shared" si="5"/>
        <v>0</v>
      </c>
      <c r="H77" s="314"/>
    </row>
    <row r="78" spans="1:8" ht="24" customHeight="1" x14ac:dyDescent="0.2">
      <c r="A78" s="381" t="s">
        <v>731</v>
      </c>
      <c r="B78" s="316"/>
      <c r="C78" s="316"/>
      <c r="D78" s="317"/>
      <c r="E78" s="313">
        <f t="shared" si="4"/>
        <v>0</v>
      </c>
      <c r="F78" s="316"/>
      <c r="G78" s="314">
        <f t="shared" si="5"/>
        <v>0</v>
      </c>
      <c r="H78" s="314"/>
    </row>
    <row r="79" spans="1:8" x14ac:dyDescent="0.2">
      <c r="A79" s="382" t="s">
        <v>648</v>
      </c>
      <c r="B79" s="346">
        <f>B69+B70+B71+B75+B76+B77+B78</f>
        <v>86211300</v>
      </c>
      <c r="C79" s="346">
        <f>C69+C70+C71+C75+C76+C77+C78</f>
        <v>112512209.54000001</v>
      </c>
      <c r="D79" s="346">
        <f>D69+D70+D71+D75+D76+D77+D78</f>
        <v>103635095.28</v>
      </c>
      <c r="E79" s="318">
        <f t="shared" si="4"/>
        <v>34.550197819593635</v>
      </c>
      <c r="F79" s="346">
        <f>F69+F70+F71+F75+F76+F77+F78</f>
        <v>99453322.189999998</v>
      </c>
      <c r="G79" s="318">
        <f t="shared" si="5"/>
        <v>34.916365427834705</v>
      </c>
      <c r="H79" s="318">
        <f>H69+H70+H71+H75+H76+H77+H78</f>
        <v>4181773.09</v>
      </c>
    </row>
    <row r="80" spans="1:8" x14ac:dyDescent="0.2">
      <c r="A80" s="383"/>
      <c r="B80" s="734"/>
      <c r="C80" s="734"/>
      <c r="D80" s="734"/>
      <c r="E80" s="734"/>
      <c r="F80" s="739"/>
      <c r="G80" s="740"/>
      <c r="H80" s="740"/>
    </row>
    <row r="81" spans="1:9" x14ac:dyDescent="0.2">
      <c r="A81" s="385" t="s">
        <v>649</v>
      </c>
      <c r="B81" s="733">
        <f t="shared" ref="B81:H81" si="6">B64-B79</f>
        <v>172264500</v>
      </c>
      <c r="C81" s="733">
        <f t="shared" si="6"/>
        <v>203213281.48000002</v>
      </c>
      <c r="D81" s="733">
        <f t="shared" si="6"/>
        <v>196320047.73000005</v>
      </c>
      <c r="E81" s="733">
        <f t="shared" si="6"/>
        <v>60.454846607116593</v>
      </c>
      <c r="F81" s="733">
        <f t="shared" si="6"/>
        <v>185379652.18000007</v>
      </c>
      <c r="G81" s="733">
        <f t="shared" si="6"/>
        <v>55.299021821957211</v>
      </c>
      <c r="H81" s="389">
        <f t="shared" si="6"/>
        <v>10940395.550000001</v>
      </c>
    </row>
    <row r="82" spans="1:9" ht="15" customHeight="1" x14ac:dyDescent="0.2">
      <c r="A82" s="386"/>
      <c r="B82" s="735"/>
      <c r="C82" s="736"/>
      <c r="D82" s="737"/>
      <c r="E82" s="737"/>
      <c r="F82" s="741"/>
      <c r="G82" s="742"/>
      <c r="H82" s="742"/>
    </row>
    <row r="83" spans="1:9" ht="31.5" x14ac:dyDescent="0.2">
      <c r="A83" s="388" t="s">
        <v>732</v>
      </c>
      <c r="B83" s="743">
        <f>IF(D38&gt;0,F81/D38*100,0)</f>
        <v>26.914368559553925</v>
      </c>
      <c r="C83" s="741"/>
      <c r="D83" s="741"/>
      <c r="E83" s="741"/>
      <c r="F83" s="741"/>
      <c r="G83" s="742"/>
      <c r="H83" s="742"/>
      <c r="I83" s="390"/>
    </row>
    <row r="84" spans="1:9" ht="13.5" customHeight="1" x14ac:dyDescent="0.2">
      <c r="A84" s="391"/>
      <c r="B84" s="738"/>
      <c r="C84" s="741"/>
      <c r="D84" s="741"/>
      <c r="E84" s="741"/>
      <c r="F84" s="741"/>
      <c r="G84" s="741"/>
      <c r="H84" s="741"/>
    </row>
    <row r="85" spans="1:9" ht="21" x14ac:dyDescent="0.2">
      <c r="A85" s="388" t="s">
        <v>733</v>
      </c>
      <c r="B85" s="743">
        <f>F81-(15*D38)/100</f>
        <v>82063285.06750007</v>
      </c>
      <c r="C85" s="741"/>
      <c r="D85" s="741"/>
      <c r="E85" s="741"/>
      <c r="F85" s="741"/>
      <c r="G85" s="741"/>
      <c r="H85" s="741"/>
    </row>
    <row r="86" spans="1:9" ht="17.25" customHeight="1" x14ac:dyDescent="0.2">
      <c r="A86" s="393"/>
      <c r="B86" s="393"/>
      <c r="C86" s="393"/>
      <c r="D86" s="393"/>
      <c r="E86" s="392"/>
      <c r="F86" s="387"/>
      <c r="G86" s="384"/>
    </row>
    <row r="87" spans="1:9" ht="42" x14ac:dyDescent="0.2">
      <c r="A87" s="394" t="s">
        <v>549</v>
      </c>
      <c r="B87" s="395"/>
      <c r="C87" s="394" t="s">
        <v>554</v>
      </c>
      <c r="D87" s="396" t="s">
        <v>555</v>
      </c>
      <c r="E87" s="396" t="s">
        <v>380</v>
      </c>
      <c r="F87" s="396" t="s">
        <v>381</v>
      </c>
      <c r="G87" s="265" t="s">
        <v>556</v>
      </c>
    </row>
    <row r="88" spans="1:9" ht="15" customHeight="1" x14ac:dyDescent="0.2">
      <c r="A88" s="397" t="s">
        <v>382</v>
      </c>
      <c r="B88" s="398"/>
      <c r="C88" s="370"/>
      <c r="D88" s="371"/>
      <c r="E88" s="370"/>
      <c r="F88" s="371"/>
      <c r="G88" s="399"/>
    </row>
    <row r="89" spans="1:9" x14ac:dyDescent="0.2">
      <c r="A89" s="378" t="s">
        <v>720</v>
      </c>
      <c r="B89" s="400"/>
      <c r="C89" s="373"/>
      <c r="D89" s="374"/>
      <c r="E89" s="373"/>
      <c r="F89" s="374"/>
      <c r="G89" s="399"/>
    </row>
    <row r="90" spans="1:9" x14ac:dyDescent="0.2">
      <c r="A90" s="378" t="s">
        <v>721</v>
      </c>
      <c r="B90" s="400"/>
      <c r="C90" s="373"/>
      <c r="D90" s="374"/>
      <c r="E90" s="373"/>
      <c r="F90" s="374"/>
      <c r="G90" s="399"/>
    </row>
    <row r="91" spans="1:9" ht="12" customHeight="1" x14ac:dyDescent="0.2">
      <c r="A91" s="378" t="s">
        <v>721</v>
      </c>
      <c r="B91" s="400"/>
      <c r="C91" s="373"/>
      <c r="D91" s="374"/>
      <c r="E91" s="373"/>
      <c r="F91" s="374"/>
      <c r="G91" s="399"/>
    </row>
    <row r="92" spans="1:9" ht="12" customHeight="1" x14ac:dyDescent="0.2">
      <c r="A92" s="378" t="s">
        <v>539</v>
      </c>
      <c r="B92" s="400"/>
      <c r="C92" s="373"/>
      <c r="D92" s="374"/>
      <c r="E92" s="373"/>
      <c r="F92" s="374"/>
      <c r="G92" s="399"/>
    </row>
    <row r="93" spans="1:9" ht="11.25" customHeight="1" x14ac:dyDescent="0.2">
      <c r="A93" s="401" t="s">
        <v>540</v>
      </c>
      <c r="B93" s="400"/>
      <c r="C93" s="373"/>
      <c r="D93" s="374"/>
      <c r="E93" s="373"/>
      <c r="F93" s="374"/>
      <c r="G93" s="399"/>
    </row>
    <row r="94" spans="1:9" ht="12.75" customHeight="1" x14ac:dyDescent="0.2">
      <c r="A94" s="402" t="s">
        <v>383</v>
      </c>
      <c r="B94" s="403"/>
      <c r="C94" s="744">
        <f>SUM(C88:C93)</f>
        <v>0</v>
      </c>
      <c r="D94" s="744">
        <f>SUM(D88:D93)</f>
        <v>0</v>
      </c>
      <c r="E94" s="744">
        <f>SUM(E88:E93)</f>
        <v>0</v>
      </c>
      <c r="F94" s="744">
        <f>SUM(F88:F93)</f>
        <v>0</v>
      </c>
      <c r="G94" s="744">
        <f>SUM(G88:G93)</f>
        <v>0</v>
      </c>
    </row>
    <row r="95" spans="1:9" ht="12.75" customHeight="1" x14ac:dyDescent="0.2">
      <c r="A95" s="404"/>
      <c r="B95" s="2"/>
      <c r="C95" s="405"/>
      <c r="D95" s="6"/>
      <c r="E95" s="6"/>
      <c r="F95" s="387"/>
      <c r="G95" s="387"/>
    </row>
    <row r="96" spans="1:9" ht="52.5" x14ac:dyDescent="0.2">
      <c r="A96" s="394" t="s">
        <v>384</v>
      </c>
      <c r="B96" s="395"/>
      <c r="C96" s="441" t="s">
        <v>541</v>
      </c>
      <c r="D96" s="441" t="s">
        <v>386</v>
      </c>
      <c r="E96" s="396" t="s">
        <v>387</v>
      </c>
      <c r="F96" s="390"/>
      <c r="G96" s="390"/>
    </row>
    <row r="97" spans="1:5" ht="12" customHeight="1" x14ac:dyDescent="0.2">
      <c r="A97" s="151"/>
      <c r="B97" s="406"/>
      <c r="C97" s="148" t="s">
        <v>385</v>
      </c>
      <c r="D97" s="151" t="s">
        <v>350</v>
      </c>
      <c r="E97" s="407"/>
    </row>
    <row r="98" spans="1:5" ht="13.5" customHeight="1" x14ac:dyDescent="0.2">
      <c r="A98" s="408" t="s">
        <v>388</v>
      </c>
      <c r="B98" s="866">
        <f>D94</f>
        <v>0</v>
      </c>
      <c r="C98" s="445">
        <f>D77</f>
        <v>0</v>
      </c>
      <c r="D98" s="445"/>
      <c r="E98" s="710">
        <f>C98-D98</f>
        <v>0</v>
      </c>
    </row>
    <row r="99" spans="1:5" ht="13.5" customHeight="1" x14ac:dyDescent="0.2">
      <c r="A99" s="409" t="s">
        <v>722</v>
      </c>
      <c r="B99" s="410"/>
      <c r="C99" s="446"/>
      <c r="D99" s="446"/>
      <c r="E99" s="746"/>
    </row>
    <row r="100" spans="1:5" ht="13.5" customHeight="1" x14ac:dyDescent="0.2">
      <c r="A100" s="409" t="s">
        <v>723</v>
      </c>
      <c r="B100" s="410"/>
      <c r="C100" s="446"/>
      <c r="D100" s="446"/>
      <c r="E100" s="746"/>
    </row>
    <row r="101" spans="1:5" ht="13.5" customHeight="1" x14ac:dyDescent="0.2">
      <c r="A101" s="409" t="s">
        <v>724</v>
      </c>
      <c r="B101" s="410"/>
      <c r="C101" s="446"/>
      <c r="D101" s="446"/>
      <c r="E101" s="746"/>
    </row>
    <row r="102" spans="1:5" ht="13.5" customHeight="1" x14ac:dyDescent="0.2">
      <c r="A102" s="409" t="s">
        <v>542</v>
      </c>
      <c r="B102" s="410"/>
      <c r="C102" s="446"/>
      <c r="D102" s="446"/>
      <c r="E102" s="746"/>
    </row>
    <row r="103" spans="1:5" ht="13.5" customHeight="1" x14ac:dyDescent="0.2">
      <c r="A103" s="409" t="s">
        <v>543</v>
      </c>
      <c r="B103" s="410"/>
      <c r="C103" s="446"/>
      <c r="D103" s="446"/>
      <c r="E103" s="746"/>
    </row>
    <row r="104" spans="1:5" ht="13.5" customHeight="1" x14ac:dyDescent="0.2">
      <c r="A104" s="411" t="s">
        <v>650</v>
      </c>
      <c r="B104" s="412"/>
      <c r="C104" s="745">
        <f>SUM(C98:C103)</f>
        <v>0</v>
      </c>
      <c r="D104" s="745">
        <f>SUM(D98:D103)</f>
        <v>0</v>
      </c>
      <c r="E104" s="744">
        <f>SUM(E98:E103)</f>
        <v>0</v>
      </c>
    </row>
    <row r="105" spans="1:5" ht="12.75" customHeight="1" x14ac:dyDescent="0.2">
      <c r="A105" s="2"/>
      <c r="B105" s="2"/>
      <c r="C105" s="6"/>
      <c r="D105" s="6"/>
      <c r="E105" s="6"/>
    </row>
    <row r="106" spans="1:5" ht="12.75" customHeight="1" x14ac:dyDescent="0.2">
      <c r="A106" s="1089" t="s">
        <v>550</v>
      </c>
      <c r="B106" s="1090"/>
      <c r="C106" s="1096" t="s">
        <v>389</v>
      </c>
      <c r="D106" s="1097"/>
      <c r="E106" s="1090"/>
    </row>
    <row r="107" spans="1:5" ht="42" x14ac:dyDescent="0.2">
      <c r="A107" s="1091"/>
      <c r="B107" s="1092"/>
      <c r="C107" s="396" t="s">
        <v>385</v>
      </c>
      <c r="D107" s="441" t="s">
        <v>386</v>
      </c>
      <c r="E107" s="396" t="s">
        <v>387</v>
      </c>
    </row>
    <row r="108" spans="1:5" x14ac:dyDescent="0.2">
      <c r="A108" s="1093"/>
      <c r="B108" s="1094"/>
      <c r="C108" s="413"/>
      <c r="D108" s="151" t="s">
        <v>351</v>
      </c>
      <c r="E108" s="407"/>
    </row>
    <row r="109" spans="1:5" x14ac:dyDescent="0.2">
      <c r="A109" s="408" t="s">
        <v>390</v>
      </c>
      <c r="B109" s="414"/>
      <c r="C109" s="445">
        <f>D78</f>
        <v>0</v>
      </c>
      <c r="D109" s="445"/>
      <c r="E109" s="710">
        <f>C109-D109</f>
        <v>0</v>
      </c>
    </row>
    <row r="110" spans="1:5" x14ac:dyDescent="0.2">
      <c r="A110" s="409" t="s">
        <v>725</v>
      </c>
      <c r="B110" s="415"/>
      <c r="C110" s="446"/>
      <c r="D110" s="446"/>
      <c r="E110" s="746"/>
    </row>
    <row r="111" spans="1:5" x14ac:dyDescent="0.2">
      <c r="A111" s="409" t="s">
        <v>726</v>
      </c>
      <c r="B111" s="415"/>
      <c r="C111" s="446"/>
      <c r="D111" s="446"/>
      <c r="E111" s="746"/>
    </row>
    <row r="112" spans="1:5" x14ac:dyDescent="0.2">
      <c r="A112" s="409" t="s">
        <v>727</v>
      </c>
      <c r="B112" s="415"/>
      <c r="C112" s="446"/>
      <c r="D112" s="446"/>
      <c r="E112" s="746"/>
    </row>
    <row r="113" spans="1:8" x14ac:dyDescent="0.2">
      <c r="A113" s="409" t="s">
        <v>544</v>
      </c>
      <c r="B113" s="415"/>
      <c r="C113" s="446"/>
      <c r="D113" s="446"/>
      <c r="E113" s="746"/>
    </row>
    <row r="114" spans="1:8" x14ac:dyDescent="0.2">
      <c r="A114" s="409" t="s">
        <v>545</v>
      </c>
      <c r="B114" s="415"/>
      <c r="C114" s="446"/>
      <c r="D114" s="446"/>
      <c r="E114" s="746"/>
    </row>
    <row r="115" spans="1:8" ht="12.75" customHeight="1" x14ac:dyDescent="0.2">
      <c r="A115" s="416" t="s">
        <v>391</v>
      </c>
      <c r="B115" s="417"/>
      <c r="C115" s="745">
        <f>SUM(C109:C114)</f>
        <v>0</v>
      </c>
      <c r="D115" s="745">
        <f>SUM(D109:D114)</f>
        <v>0</v>
      </c>
      <c r="E115" s="744">
        <f>SUM(E109:E114)</f>
        <v>0</v>
      </c>
    </row>
    <row r="116" spans="1:8" x14ac:dyDescent="0.2">
      <c r="A116" s="2"/>
      <c r="B116" s="364"/>
      <c r="C116" s="6"/>
      <c r="D116" s="2"/>
      <c r="E116" s="2"/>
      <c r="F116" s="348"/>
      <c r="G116" s="348"/>
      <c r="H116" s="348"/>
    </row>
    <row r="117" spans="1:8" ht="31.5" x14ac:dyDescent="0.2">
      <c r="A117" s="418" t="s">
        <v>216</v>
      </c>
      <c r="B117" s="156" t="s">
        <v>109</v>
      </c>
      <c r="C117" s="156" t="s">
        <v>109</v>
      </c>
      <c r="D117" s="1084" t="s">
        <v>110</v>
      </c>
      <c r="E117" s="1085"/>
      <c r="F117" s="1084" t="s">
        <v>111</v>
      </c>
      <c r="G117" s="1085"/>
      <c r="H117" s="419" t="s">
        <v>728</v>
      </c>
    </row>
    <row r="118" spans="1:8" x14ac:dyDescent="0.2">
      <c r="A118" s="359" t="s">
        <v>223</v>
      </c>
      <c r="B118" s="158" t="s">
        <v>80</v>
      </c>
      <c r="C118" s="158" t="s">
        <v>81</v>
      </c>
      <c r="D118" s="156" t="str">
        <f>CONCATENATE("Até o  ", B12)</f>
        <v>Até o  Bimestre</v>
      </c>
      <c r="E118" s="358" t="s">
        <v>83</v>
      </c>
      <c r="F118" s="156" t="str">
        <f>CONCATENATE("Até o  ", B12)</f>
        <v>Até o  Bimestre</v>
      </c>
      <c r="G118" s="358" t="s">
        <v>83</v>
      </c>
      <c r="H118" s="420"/>
    </row>
    <row r="119" spans="1:8" ht="21.75" customHeight="1" x14ac:dyDescent="0.2">
      <c r="A119" s="421"/>
      <c r="B119" s="340"/>
      <c r="C119" s="161"/>
      <c r="D119" s="161" t="s">
        <v>392</v>
      </c>
      <c r="E119" s="422" t="s">
        <v>393</v>
      </c>
      <c r="F119" s="161" t="s">
        <v>394</v>
      </c>
      <c r="G119" s="422" t="s">
        <v>395</v>
      </c>
      <c r="H119" s="423"/>
    </row>
    <row r="120" spans="1:8" x14ac:dyDescent="0.2">
      <c r="A120" s="7" t="s">
        <v>224</v>
      </c>
      <c r="B120" s="314">
        <v>41419000</v>
      </c>
      <c r="C120" s="314">
        <v>50366698.810000002</v>
      </c>
      <c r="D120" s="314">
        <v>49244446.729999997</v>
      </c>
      <c r="E120" s="312">
        <f t="shared" ref="E120:E126" si="7">IF($D$127&gt;0,D120/$D$127*100,0)</f>
        <v>16.417270341105063</v>
      </c>
      <c r="F120" s="375">
        <v>48288734.420000002</v>
      </c>
      <c r="G120" s="312">
        <f t="shared" ref="G120:G126" si="8">IF($F$127&gt;0,F120/$F$127*100,0)</f>
        <v>16.953351179513579</v>
      </c>
      <c r="H120" s="710">
        <v>955712.31</v>
      </c>
    </row>
    <row r="121" spans="1:8" x14ac:dyDescent="0.2">
      <c r="A121" s="7" t="s">
        <v>225</v>
      </c>
      <c r="B121" s="314">
        <v>145406000</v>
      </c>
      <c r="C121" s="314">
        <v>175434906.44</v>
      </c>
      <c r="D121" s="314">
        <v>167518608.41</v>
      </c>
      <c r="E121" s="314">
        <f t="shared" si="7"/>
        <v>55.847886696983629</v>
      </c>
      <c r="F121" s="313">
        <v>154840895.38</v>
      </c>
      <c r="G121" s="314">
        <f t="shared" si="8"/>
        <v>54.361997841886314</v>
      </c>
      <c r="H121" s="746">
        <v>12677713.029999999</v>
      </c>
    </row>
    <row r="122" spans="1:8" x14ac:dyDescent="0.2">
      <c r="A122" s="7" t="s">
        <v>226</v>
      </c>
      <c r="B122" s="314">
        <v>12714000</v>
      </c>
      <c r="C122" s="314">
        <v>14317314.43</v>
      </c>
      <c r="D122" s="314">
        <v>13875245.310000001</v>
      </c>
      <c r="E122" s="314">
        <f t="shared" si="7"/>
        <v>4.625773430908442</v>
      </c>
      <c r="F122" s="313">
        <v>13646710.109999999</v>
      </c>
      <c r="G122" s="314">
        <f t="shared" si="8"/>
        <v>4.7911272001368879</v>
      </c>
      <c r="H122" s="746">
        <v>228535.2</v>
      </c>
    </row>
    <row r="123" spans="1:8" x14ac:dyDescent="0.2">
      <c r="A123" s="7" t="s">
        <v>227</v>
      </c>
      <c r="B123" s="314">
        <v>2623000</v>
      </c>
      <c r="C123" s="314">
        <v>3549214.59</v>
      </c>
      <c r="D123" s="314">
        <v>2632430.52</v>
      </c>
      <c r="E123" s="314">
        <f t="shared" si="7"/>
        <v>0.87760806285366444</v>
      </c>
      <c r="F123" s="313">
        <v>2631090.5699999998</v>
      </c>
      <c r="G123" s="314">
        <f t="shared" si="8"/>
        <v>0.92373103072757123</v>
      </c>
      <c r="H123" s="746">
        <v>1339.95</v>
      </c>
    </row>
    <row r="124" spans="1:8" x14ac:dyDescent="0.2">
      <c r="A124" s="7" t="s">
        <v>228</v>
      </c>
      <c r="B124" s="314">
        <v>3928000</v>
      </c>
      <c r="C124" s="314">
        <v>4786443.34</v>
      </c>
      <c r="D124" s="314">
        <v>4225396.3099999996</v>
      </c>
      <c r="E124" s="314">
        <f t="shared" si="7"/>
        <v>1.4086760665607698</v>
      </c>
      <c r="F124" s="313">
        <v>4141251.17</v>
      </c>
      <c r="G124" s="314">
        <f t="shared" si="8"/>
        <v>1.4539226643824201</v>
      </c>
      <c r="H124" s="746">
        <v>84145.14</v>
      </c>
    </row>
    <row r="125" spans="1:8" x14ac:dyDescent="0.2">
      <c r="A125" s="7" t="s">
        <v>229</v>
      </c>
      <c r="B125" s="314"/>
      <c r="C125" s="314"/>
      <c r="D125" s="314"/>
      <c r="E125" s="314">
        <f t="shared" si="7"/>
        <v>0</v>
      </c>
      <c r="F125" s="313"/>
      <c r="G125" s="314">
        <f t="shared" si="8"/>
        <v>0</v>
      </c>
      <c r="H125" s="746"/>
    </row>
    <row r="126" spans="1:8" x14ac:dyDescent="0.2">
      <c r="A126" s="9" t="s">
        <v>199</v>
      </c>
      <c r="B126" s="317">
        <v>52385800</v>
      </c>
      <c r="C126" s="317">
        <v>67270913.409999996</v>
      </c>
      <c r="D126" s="314">
        <v>62459015.729999997</v>
      </c>
      <c r="E126" s="314">
        <f t="shared" si="7"/>
        <v>20.822785401588437</v>
      </c>
      <c r="F126" s="313">
        <v>61284292.719999999</v>
      </c>
      <c r="G126" s="314">
        <f t="shared" si="8"/>
        <v>21.515870083353228</v>
      </c>
      <c r="H126" s="711">
        <v>1174723.01</v>
      </c>
    </row>
    <row r="127" spans="1:8" x14ac:dyDescent="0.2">
      <c r="A127" s="354" t="s">
        <v>122</v>
      </c>
      <c r="B127" s="318">
        <f t="shared" ref="B127:H127" si="9">SUM(B120:B126)</f>
        <v>258475800</v>
      </c>
      <c r="C127" s="318">
        <f t="shared" si="9"/>
        <v>315725491.01999998</v>
      </c>
      <c r="D127" s="318">
        <f t="shared" si="9"/>
        <v>299955143.00999999</v>
      </c>
      <c r="E127" s="318">
        <f t="shared" si="9"/>
        <v>100</v>
      </c>
      <c r="F127" s="747">
        <f t="shared" si="9"/>
        <v>284832974.37</v>
      </c>
      <c r="G127" s="318">
        <f t="shared" si="9"/>
        <v>100</v>
      </c>
      <c r="H127" s="318">
        <f t="shared" si="9"/>
        <v>15122168.639999999</v>
      </c>
    </row>
    <row r="128" spans="1:8" x14ac:dyDescent="0.2">
      <c r="A128" s="1088" t="s">
        <v>1037</v>
      </c>
      <c r="B128" s="1088"/>
      <c r="C128" s="1088"/>
      <c r="D128" s="1088"/>
      <c r="E128" s="1088"/>
      <c r="F128" s="1088"/>
      <c r="G128" s="1088"/>
      <c r="H128" s="1088"/>
    </row>
    <row r="129" spans="1:8" x14ac:dyDescent="0.2">
      <c r="A129" s="2" t="s">
        <v>0</v>
      </c>
      <c r="B129" s="424"/>
      <c r="C129" s="424"/>
      <c r="D129" s="2"/>
      <c r="E129" s="2"/>
      <c r="F129" s="387"/>
      <c r="G129" s="387"/>
      <c r="H129" s="348"/>
    </row>
    <row r="130" spans="1:8" x14ac:dyDescent="0.2">
      <c r="A130" s="2" t="s">
        <v>734</v>
      </c>
      <c r="B130" s="424"/>
      <c r="C130" s="424"/>
      <c r="D130" s="2"/>
      <c r="E130" s="2"/>
      <c r="F130" s="387"/>
      <c r="G130" s="387"/>
      <c r="H130" s="348"/>
    </row>
    <row r="131" spans="1:8" x14ac:dyDescent="0.2">
      <c r="A131" s="2" t="s">
        <v>735</v>
      </c>
      <c r="B131" s="424"/>
      <c r="C131" s="424"/>
      <c r="D131" s="2"/>
      <c r="E131" s="2"/>
      <c r="F131" s="387"/>
      <c r="G131" s="387"/>
      <c r="H131" s="348"/>
    </row>
    <row r="132" spans="1:8" x14ac:dyDescent="0.2">
      <c r="A132" s="4" t="s">
        <v>736</v>
      </c>
      <c r="B132" s="425"/>
      <c r="C132" s="425"/>
      <c r="D132" s="2"/>
      <c r="E132" s="2"/>
      <c r="F132" s="387"/>
      <c r="G132" s="387"/>
      <c r="H132" s="348"/>
    </row>
    <row r="133" spans="1:8" x14ac:dyDescent="0.2">
      <c r="A133" s="4" t="s">
        <v>737</v>
      </c>
      <c r="B133" s="348"/>
      <c r="C133" s="348"/>
      <c r="D133" s="348"/>
      <c r="E133" s="348"/>
      <c r="F133" s="348"/>
      <c r="G133" s="348"/>
      <c r="H133" s="348"/>
    </row>
    <row r="134" spans="1:8" x14ac:dyDescent="0.2">
      <c r="A134" s="2" t="s">
        <v>738</v>
      </c>
      <c r="B134" s="348"/>
      <c r="C134" s="348"/>
      <c r="D134" s="348"/>
      <c r="E134" s="348"/>
      <c r="F134" s="348"/>
      <c r="G134" s="348"/>
      <c r="H134" s="348"/>
    </row>
    <row r="135" spans="1:8" x14ac:dyDescent="0.2">
      <c r="A135" s="23" t="s">
        <v>739</v>
      </c>
      <c r="B135" s="23"/>
      <c r="C135" s="23"/>
      <c r="D135" s="348"/>
      <c r="E135" s="348"/>
      <c r="F135" s="348"/>
      <c r="G135" s="348"/>
      <c r="H135" s="348"/>
    </row>
    <row r="136" spans="1:8" x14ac:dyDescent="0.2">
      <c r="A136" s="348"/>
      <c r="B136" s="348"/>
      <c r="C136" s="348"/>
      <c r="D136" s="348"/>
      <c r="E136" s="348"/>
      <c r="F136" s="348"/>
      <c r="G136" s="348"/>
      <c r="H136" s="348"/>
    </row>
    <row r="137" spans="1:8" x14ac:dyDescent="0.2">
      <c r="A137" s="348"/>
      <c r="B137" s="348"/>
      <c r="C137" s="348"/>
      <c r="D137" s="348"/>
      <c r="E137" s="348"/>
      <c r="F137" s="348"/>
      <c r="G137" s="348"/>
      <c r="H137" s="348"/>
    </row>
    <row r="138" spans="1:8" x14ac:dyDescent="0.2">
      <c r="A138" s="348"/>
      <c r="B138" s="348"/>
      <c r="C138" s="348"/>
      <c r="D138" s="348"/>
      <c r="E138" s="348"/>
      <c r="F138" s="348"/>
      <c r="G138" s="348"/>
      <c r="H138" s="348"/>
    </row>
    <row r="139" spans="1:8" x14ac:dyDescent="0.2">
      <c r="A139" s="348"/>
      <c r="B139" s="348"/>
      <c r="C139" s="348"/>
      <c r="D139" s="348"/>
      <c r="E139" s="348"/>
      <c r="F139" s="348"/>
      <c r="G139" s="348"/>
      <c r="H139" s="348"/>
    </row>
    <row r="140" spans="1:8" x14ac:dyDescent="0.2">
      <c r="A140" s="348"/>
      <c r="B140" s="348"/>
      <c r="C140" s="348"/>
      <c r="D140" s="348"/>
      <c r="E140" s="348"/>
      <c r="F140" s="348"/>
      <c r="G140" s="348"/>
      <c r="H140" s="348"/>
    </row>
    <row r="141" spans="1:8" x14ac:dyDescent="0.2">
      <c r="A141" s="886" t="s">
        <v>1024</v>
      </c>
      <c r="B141" s="505"/>
      <c r="C141" s="505"/>
      <c r="D141" s="1046" t="s">
        <v>1026</v>
      </c>
      <c r="E141" s="1046"/>
      <c r="F141" s="1046"/>
      <c r="G141" s="348"/>
      <c r="H141" s="348"/>
    </row>
    <row r="142" spans="1:8" x14ac:dyDescent="0.2">
      <c r="A142" s="887" t="s">
        <v>1025</v>
      </c>
      <c r="B142" s="505"/>
      <c r="C142" s="505"/>
      <c r="D142" s="1046" t="s">
        <v>1027</v>
      </c>
      <c r="E142" s="1046"/>
      <c r="F142" s="1046"/>
      <c r="G142" s="348"/>
      <c r="H142" s="348"/>
    </row>
    <row r="143" spans="1:8" x14ac:dyDescent="0.2">
      <c r="A143" s="525"/>
      <c r="B143" s="90"/>
      <c r="C143" s="503"/>
      <c r="D143" s="1031" t="s">
        <v>1040</v>
      </c>
      <c r="E143" s="1031"/>
      <c r="F143" s="1031"/>
      <c r="G143" s="891"/>
      <c r="H143" s="891"/>
    </row>
    <row r="144" spans="1:8" x14ac:dyDescent="0.2">
      <c r="A144" s="348"/>
      <c r="B144" s="348"/>
      <c r="C144" s="348"/>
      <c r="D144" s="892"/>
      <c r="E144" s="892"/>
      <c r="F144" s="892"/>
      <c r="G144" s="891"/>
      <c r="H144" s="891"/>
    </row>
    <row r="145" spans="1:8" x14ac:dyDescent="0.2">
      <c r="A145" s="348"/>
      <c r="B145" s="348"/>
      <c r="C145" s="348"/>
      <c r="D145" s="892"/>
      <c r="E145" s="892"/>
      <c r="F145" s="892"/>
      <c r="G145" s="891"/>
      <c r="H145" s="891"/>
    </row>
    <row r="146" spans="1:8" x14ac:dyDescent="0.2">
      <c r="A146" s="348"/>
      <c r="B146" s="348"/>
      <c r="C146" s="348"/>
      <c r="D146" s="892"/>
      <c r="E146" s="892"/>
      <c r="F146" s="892"/>
      <c r="G146" s="348"/>
      <c r="H146" s="348"/>
    </row>
    <row r="147" spans="1:8" x14ac:dyDescent="0.2">
      <c r="A147" s="525" t="s">
        <v>1045</v>
      </c>
      <c r="B147" s="90"/>
      <c r="C147" s="90"/>
      <c r="D147" s="1031" t="s">
        <v>1028</v>
      </c>
      <c r="E147" s="1031"/>
      <c r="F147" s="1031"/>
      <c r="G147" s="348"/>
      <c r="H147" s="348"/>
    </row>
    <row r="148" spans="1:8" x14ac:dyDescent="0.2">
      <c r="A148" s="887" t="s">
        <v>1046</v>
      </c>
      <c r="B148" s="90"/>
      <c r="C148" s="90"/>
      <c r="D148" s="887" t="s">
        <v>1029</v>
      </c>
      <c r="E148" s="887"/>
      <c r="F148" s="887"/>
      <c r="G148" s="348"/>
      <c r="H148" s="348"/>
    </row>
    <row r="149" spans="1:8" x14ac:dyDescent="0.2">
      <c r="D149" s="904" t="s">
        <v>1041</v>
      </c>
      <c r="E149" s="904"/>
      <c r="F149" s="892"/>
      <c r="G149" s="348"/>
      <c r="H149" s="348"/>
    </row>
    <row r="150" spans="1:8" x14ac:dyDescent="0.2">
      <c r="A150" s="348"/>
      <c r="B150" s="348"/>
      <c r="C150" s="348"/>
      <c r="D150" s="348"/>
      <c r="E150" s="348"/>
      <c r="F150" s="348"/>
      <c r="G150" s="348"/>
      <c r="H150" s="348"/>
    </row>
    <row r="151" spans="1:8" x14ac:dyDescent="0.2">
      <c r="A151" s="348"/>
      <c r="B151" s="348"/>
      <c r="C151" s="348"/>
      <c r="D151" s="348"/>
      <c r="E151" s="348"/>
      <c r="F151" s="348"/>
      <c r="G151" s="348"/>
      <c r="H151" s="348"/>
    </row>
    <row r="152" spans="1:8" x14ac:dyDescent="0.2">
      <c r="A152" s="348"/>
      <c r="B152" s="348"/>
      <c r="C152" s="348"/>
      <c r="D152" s="348"/>
      <c r="E152" s="348"/>
      <c r="F152" s="348"/>
      <c r="G152" s="348"/>
      <c r="H152" s="348"/>
    </row>
    <row r="153" spans="1:8" x14ac:dyDescent="0.2">
      <c r="A153" s="348"/>
      <c r="B153" s="348"/>
      <c r="C153" s="348"/>
      <c r="D153" s="348"/>
      <c r="E153" s="348"/>
      <c r="F153" s="348"/>
      <c r="G153" s="348"/>
      <c r="H153" s="348"/>
    </row>
    <row r="154" spans="1:8" x14ac:dyDescent="0.2">
      <c r="A154" s="348"/>
      <c r="B154" s="348"/>
      <c r="C154" s="348"/>
      <c r="D154" s="348"/>
      <c r="E154" s="348"/>
      <c r="F154" s="348"/>
      <c r="G154" s="348"/>
      <c r="H154" s="348"/>
    </row>
    <row r="155" spans="1:8" x14ac:dyDescent="0.2">
      <c r="A155" s="348"/>
      <c r="B155" s="348"/>
      <c r="C155" s="348"/>
      <c r="D155" s="348"/>
      <c r="E155" s="348"/>
      <c r="F155" s="348"/>
      <c r="G155" s="348"/>
      <c r="H155" s="348"/>
    </row>
    <row r="156" spans="1:8" x14ac:dyDescent="0.2">
      <c r="A156" s="348"/>
      <c r="B156" s="348"/>
      <c r="C156" s="348"/>
      <c r="D156" s="348"/>
      <c r="E156" s="348"/>
      <c r="F156" s="348"/>
      <c r="G156" s="348"/>
      <c r="H156" s="348"/>
    </row>
  </sheetData>
  <mergeCells count="19">
    <mergeCell ref="A11:G11"/>
    <mergeCell ref="A13:G13"/>
    <mergeCell ref="A14:G14"/>
    <mergeCell ref="D17:E17"/>
    <mergeCell ref="A128:H128"/>
    <mergeCell ref="A106:B108"/>
    <mergeCell ref="D53:E53"/>
    <mergeCell ref="F53:G53"/>
    <mergeCell ref="D66:E66"/>
    <mergeCell ref="F66:G66"/>
    <mergeCell ref="D40:E40"/>
    <mergeCell ref="C106:E106"/>
    <mergeCell ref="D143:F143"/>
    <mergeCell ref="D147:F147"/>
    <mergeCell ref="D149:E149"/>
    <mergeCell ref="D117:E117"/>
    <mergeCell ref="F117:G117"/>
    <mergeCell ref="D141:F141"/>
    <mergeCell ref="D142:F142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N67"/>
  <sheetViews>
    <sheetView showGridLines="0" zoomScaleNormal="100" workbookViewId="0"/>
  </sheetViews>
  <sheetFormatPr defaultRowHeight="11.25" customHeight="1" x14ac:dyDescent="0.2"/>
  <cols>
    <col min="1" max="1" width="57.7109375" style="20" bestFit="1" customWidth="1"/>
    <col min="2" max="12" width="10" style="20" customWidth="1"/>
    <col min="13" max="13" width="7.42578125" style="20" customWidth="1"/>
    <col min="14" max="16384" width="9.140625" style="20"/>
  </cols>
  <sheetData>
    <row r="1" spans="1:13" s="50" customFormat="1" ht="12.75" x14ac:dyDescent="0.2"/>
    <row r="2" spans="1:13" s="50" customFormat="1" ht="25.5" customHeight="1" x14ac:dyDescent="0.35">
      <c r="A2" s="848" t="s">
        <v>1019</v>
      </c>
    </row>
    <row r="3" spans="1:13" s="50" customFormat="1" ht="15.75" customHeight="1" x14ac:dyDescent="0.25">
      <c r="A3" s="849" t="s">
        <v>1020</v>
      </c>
    </row>
    <row r="4" spans="1:13" s="50" customFormat="1" ht="15.75" customHeight="1" x14ac:dyDescent="0.25">
      <c r="A4" s="849" t="s">
        <v>1021</v>
      </c>
    </row>
    <row r="5" spans="1:13" s="50" customFormat="1" ht="15.75" customHeight="1" x14ac:dyDescent="0.25">
      <c r="A5" s="849" t="s">
        <v>1022</v>
      </c>
    </row>
    <row r="6" spans="1:13" s="50" customFormat="1" ht="15.75" x14ac:dyDescent="0.25">
      <c r="A6" s="85" t="s">
        <v>371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s="50" customFormat="1" ht="12.75" x14ac:dyDescent="0.2"/>
    <row r="8" spans="1:13" ht="12.75" x14ac:dyDescent="0.2">
      <c r="A8" s="840" t="s">
        <v>1019</v>
      </c>
      <c r="B8" s="453"/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</row>
    <row r="9" spans="1:13" s="50" customFormat="1" ht="12.75" x14ac:dyDescent="0.2">
      <c r="A9" s="453" t="s">
        <v>74</v>
      </c>
      <c r="B9" s="453"/>
      <c r="C9" s="453"/>
      <c r="D9" s="453"/>
      <c r="E9" s="453"/>
      <c r="F9" s="453"/>
      <c r="G9" s="453"/>
      <c r="H9" s="453"/>
      <c r="I9" s="453"/>
      <c r="J9" s="453"/>
      <c r="K9" s="453"/>
      <c r="L9" s="453"/>
      <c r="M9" s="453"/>
    </row>
    <row r="10" spans="1:13" s="50" customFormat="1" ht="12.75" x14ac:dyDescent="0.2">
      <c r="A10" s="454" t="s">
        <v>153</v>
      </c>
      <c r="B10" s="454"/>
      <c r="C10" s="454"/>
      <c r="D10" s="454"/>
      <c r="E10" s="454"/>
      <c r="F10" s="454"/>
      <c r="G10" s="454"/>
      <c r="H10" s="454"/>
      <c r="I10" s="454"/>
      <c r="J10" s="454"/>
      <c r="K10" s="454"/>
      <c r="L10" s="454"/>
      <c r="M10" s="454"/>
    </row>
    <row r="11" spans="1:13" s="50" customFormat="1" ht="12.75" customHeight="1" x14ac:dyDescent="0.2">
      <c r="A11" s="1107" t="s">
        <v>76</v>
      </c>
      <c r="B11" s="1107"/>
      <c r="C11" s="1107"/>
      <c r="D11" s="1107"/>
      <c r="E11" s="1107"/>
      <c r="F11" s="1107"/>
      <c r="G11" s="1107"/>
      <c r="H11" s="1107"/>
      <c r="I11" s="1107"/>
      <c r="J11" s="1107"/>
      <c r="K11" s="1107"/>
      <c r="L11" s="1107"/>
      <c r="M11" s="1107"/>
    </row>
    <row r="12" spans="1:13" s="50" customFormat="1" ht="12.75" customHeight="1" x14ac:dyDescent="0.2">
      <c r="A12" s="867" t="s">
        <v>1023</v>
      </c>
      <c r="B12" s="766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C12" s="762"/>
      <c r="D12" s="762"/>
      <c r="E12" s="762"/>
      <c r="F12" s="762"/>
      <c r="G12" s="762"/>
      <c r="H12" s="762"/>
      <c r="I12" s="762"/>
      <c r="J12" s="762"/>
      <c r="K12" s="762"/>
      <c r="L12" s="762"/>
      <c r="M12" s="762"/>
    </row>
    <row r="13" spans="1:13" s="50" customFormat="1" ht="12.75" hidden="1" x14ac:dyDescent="0.2">
      <c r="A13" s="1107"/>
      <c r="B13" s="1107"/>
      <c r="C13" s="1107"/>
      <c r="D13" s="1107"/>
      <c r="E13" s="1107"/>
      <c r="F13" s="1107"/>
      <c r="G13" s="1107"/>
      <c r="H13" s="1107"/>
      <c r="I13" s="1107"/>
      <c r="J13" s="1107"/>
      <c r="K13" s="1107"/>
      <c r="L13" s="1107"/>
      <c r="M13" s="1107"/>
    </row>
    <row r="14" spans="1:13" s="50" customFormat="1" ht="12.75" hidden="1" x14ac:dyDescent="0.2">
      <c r="A14" s="1107"/>
      <c r="B14" s="1107"/>
      <c r="C14" s="1107"/>
      <c r="D14" s="1107"/>
      <c r="E14" s="1107"/>
      <c r="F14" s="1107"/>
      <c r="G14" s="1107"/>
      <c r="H14" s="1107"/>
      <c r="I14" s="1107"/>
      <c r="J14" s="1107"/>
      <c r="K14" s="1107"/>
      <c r="L14" s="1107"/>
      <c r="M14" s="1107"/>
    </row>
    <row r="15" spans="1:13" s="50" customFormat="1" ht="12.75" x14ac:dyDescent="0.2">
      <c r="A15" s="1108"/>
      <c r="B15" s="1108"/>
      <c r="C15" s="1108"/>
      <c r="D15" s="1108"/>
      <c r="E15" s="1108"/>
      <c r="F15" s="1108"/>
      <c r="G15" s="1108"/>
      <c r="H15" s="1108"/>
      <c r="I15" s="1108"/>
      <c r="J15" s="1108"/>
      <c r="K15" s="1108"/>
      <c r="L15" s="1108"/>
      <c r="M15" s="1108"/>
    </row>
    <row r="16" spans="1:13" s="50" customFormat="1" ht="12.75" x14ac:dyDescent="0.2">
      <c r="A16" s="430" t="s">
        <v>372</v>
      </c>
      <c r="B16" s="430"/>
      <c r="C16" s="430"/>
      <c r="D16" s="431" t="s">
        <v>692</v>
      </c>
      <c r="E16" s="432"/>
      <c r="F16" s="1106"/>
      <c r="G16" s="1106"/>
      <c r="H16" s="1106"/>
      <c r="I16" s="1106"/>
      <c r="J16" s="432"/>
      <c r="K16" s="1106"/>
      <c r="L16" s="1106"/>
      <c r="M16" s="902"/>
    </row>
    <row r="17" spans="1:13" s="426" customFormat="1" ht="11.25" customHeight="1" x14ac:dyDescent="0.2">
      <c r="A17" s="1104" t="s">
        <v>147</v>
      </c>
      <c r="B17" s="247" t="s">
        <v>113</v>
      </c>
      <c r="C17" s="1098" t="s">
        <v>148</v>
      </c>
      <c r="D17" s="1099"/>
      <c r="E17" s="704"/>
    </row>
    <row r="18" spans="1:13" s="426" customFormat="1" ht="11.25" customHeight="1" x14ac:dyDescent="0.2">
      <c r="A18" s="1105"/>
      <c r="B18" s="246" t="s">
        <v>718</v>
      </c>
      <c r="C18" s="328" t="str">
        <f>CONCATENATE("No  ", B12)</f>
        <v>No  Bimestre</v>
      </c>
      <c r="D18" s="1102" t="str">
        <f>CONCATENATE("Até o  ", B12)</f>
        <v>Até o  Bimestre</v>
      </c>
      <c r="E18" s="705"/>
    </row>
    <row r="19" spans="1:13" s="426" customFormat="1" ht="11.25" customHeight="1" x14ac:dyDescent="0.2">
      <c r="A19" s="427"/>
      <c r="B19" s="246" t="s">
        <v>157</v>
      </c>
      <c r="C19" s="149"/>
      <c r="D19" s="1103"/>
      <c r="E19" s="706"/>
    </row>
    <row r="20" spans="1:13" s="426" customFormat="1" ht="11.25" customHeight="1" x14ac:dyDescent="0.2">
      <c r="A20" s="428"/>
      <c r="B20" s="248" t="s">
        <v>85</v>
      </c>
      <c r="C20" s="259"/>
      <c r="D20" s="259" t="s">
        <v>86</v>
      </c>
      <c r="E20" s="705"/>
    </row>
    <row r="21" spans="1:13" s="426" customFormat="1" ht="11.25" customHeight="1" x14ac:dyDescent="0.2">
      <c r="A21" s="701" t="s">
        <v>149</v>
      </c>
      <c r="B21" s="582">
        <f>B22</f>
        <v>0</v>
      </c>
      <c r="C21" s="583">
        <f>C22</f>
        <v>0</v>
      </c>
      <c r="D21" s="584">
        <f>D22</f>
        <v>0</v>
      </c>
      <c r="E21" s="585"/>
    </row>
    <row r="22" spans="1:13" s="426" customFormat="1" ht="11.25" customHeight="1" x14ac:dyDescent="0.2">
      <c r="A22" s="702" t="s">
        <v>773</v>
      </c>
      <c r="B22" s="585"/>
      <c r="C22" s="586"/>
      <c r="D22" s="587"/>
      <c r="E22" s="585"/>
    </row>
    <row r="23" spans="1:13" s="426" customFormat="1" ht="11.25" customHeight="1" x14ac:dyDescent="0.2">
      <c r="A23" s="701" t="s">
        <v>774</v>
      </c>
      <c r="B23" s="582">
        <f>SUM(B24:B26)</f>
        <v>0</v>
      </c>
      <c r="C23" s="583">
        <f>SUM(C24:C26)</f>
        <v>0</v>
      </c>
      <c r="D23" s="584">
        <f>SUM(D24:D26)</f>
        <v>0</v>
      </c>
      <c r="E23" s="585"/>
    </row>
    <row r="24" spans="1:13" s="426" customFormat="1" ht="11.25" customHeight="1" x14ac:dyDescent="0.2">
      <c r="A24" s="702" t="s">
        <v>775</v>
      </c>
      <c r="B24" s="585"/>
      <c r="C24" s="586"/>
      <c r="D24" s="587"/>
      <c r="E24" s="585"/>
    </row>
    <row r="25" spans="1:13" s="426" customFormat="1" ht="11.25" customHeight="1" x14ac:dyDescent="0.2">
      <c r="A25" s="702" t="s">
        <v>150</v>
      </c>
      <c r="B25" s="585"/>
      <c r="C25" s="586"/>
      <c r="D25" s="587"/>
      <c r="E25" s="585"/>
    </row>
    <row r="26" spans="1:13" s="426" customFormat="1" ht="11.25" customHeight="1" x14ac:dyDescent="0.2">
      <c r="A26" s="702" t="s">
        <v>776</v>
      </c>
      <c r="B26" s="588"/>
      <c r="C26" s="589"/>
      <c r="D26" s="590"/>
      <c r="E26" s="585"/>
    </row>
    <row r="27" spans="1:13" s="426" customFormat="1" ht="11.25" customHeight="1" x14ac:dyDescent="0.2">
      <c r="A27" s="701" t="s">
        <v>777</v>
      </c>
      <c r="B27" s="582">
        <f>SUM(B28:B31)</f>
        <v>0</v>
      </c>
      <c r="C27" s="583">
        <f>SUM(C28:C31)</f>
        <v>0</v>
      </c>
      <c r="D27" s="584">
        <f>SUM(D28:D31)</f>
        <v>0</v>
      </c>
      <c r="E27" s="585"/>
    </row>
    <row r="28" spans="1:13" s="426" customFormat="1" ht="11.25" customHeight="1" x14ac:dyDescent="0.2">
      <c r="A28" s="702" t="s">
        <v>778</v>
      </c>
      <c r="B28" s="585"/>
      <c r="C28" s="586"/>
      <c r="D28" s="587"/>
      <c r="E28" s="585"/>
    </row>
    <row r="29" spans="1:13" s="426" customFormat="1" ht="11.25" customHeight="1" x14ac:dyDescent="0.2">
      <c r="A29" s="702" t="s">
        <v>920</v>
      </c>
      <c r="B29" s="585"/>
      <c r="C29" s="586"/>
      <c r="D29" s="587"/>
      <c r="E29" s="585"/>
    </row>
    <row r="30" spans="1:13" s="426" customFormat="1" ht="11.25" customHeight="1" x14ac:dyDescent="0.2">
      <c r="A30" s="702" t="s">
        <v>921</v>
      </c>
      <c r="B30" s="585"/>
      <c r="C30" s="586"/>
      <c r="D30" s="587"/>
      <c r="E30" s="585"/>
    </row>
    <row r="31" spans="1:13" s="426" customFormat="1" ht="11.25" customHeight="1" x14ac:dyDescent="0.2">
      <c r="A31" s="703" t="s">
        <v>922</v>
      </c>
      <c r="B31" s="588"/>
      <c r="C31" s="589"/>
      <c r="D31" s="590"/>
      <c r="E31" s="585"/>
    </row>
    <row r="32" spans="1:13" s="426" customFormat="1" ht="11.25" customHeight="1" x14ac:dyDescent="0.2">
      <c r="A32" s="258"/>
      <c r="B32" s="245"/>
      <c r="C32" s="245"/>
      <c r="D32" s="245"/>
      <c r="E32" s="245"/>
      <c r="F32" s="245"/>
      <c r="G32" s="21"/>
      <c r="H32" s="245"/>
      <c r="I32" s="245"/>
      <c r="J32" s="245"/>
      <c r="K32" s="245"/>
      <c r="L32" s="245"/>
      <c r="M32" s="245"/>
    </row>
    <row r="33" spans="1:13" s="426" customFormat="1" ht="11.25" hidden="1" customHeight="1" x14ac:dyDescent="0.2">
      <c r="A33" s="258"/>
      <c r="B33" s="245"/>
      <c r="C33" s="245"/>
      <c r="D33" s="245"/>
      <c r="E33" s="245"/>
      <c r="F33" s="245"/>
      <c r="G33" s="21"/>
      <c r="H33" s="245"/>
      <c r="I33" s="245"/>
      <c r="J33" s="245"/>
      <c r="K33" s="245"/>
      <c r="L33" s="245"/>
      <c r="M33" s="245"/>
    </row>
    <row r="34" spans="1:13" s="426" customFormat="1" ht="11.25" hidden="1" customHeight="1" x14ac:dyDescent="0.2">
      <c r="A34" s="258"/>
      <c r="B34" s="245"/>
      <c r="C34" s="245"/>
      <c r="D34" s="245"/>
      <c r="E34" s="245"/>
      <c r="F34" s="245"/>
      <c r="G34" s="21"/>
      <c r="H34" s="245"/>
      <c r="I34" s="245"/>
      <c r="J34" s="245"/>
      <c r="K34" s="245"/>
      <c r="L34" s="245"/>
      <c r="M34" s="245"/>
    </row>
    <row r="35" spans="1:13" s="426" customFormat="1" ht="11.25" hidden="1" customHeight="1" x14ac:dyDescent="0.2">
      <c r="A35" s="258"/>
      <c r="B35" s="245"/>
      <c r="C35" s="245"/>
      <c r="D35" s="245"/>
      <c r="E35" s="245"/>
      <c r="F35" s="245"/>
      <c r="G35" s="21"/>
      <c r="H35" s="245"/>
      <c r="I35" s="245"/>
      <c r="J35" s="245"/>
      <c r="K35" s="245"/>
      <c r="L35" s="245"/>
      <c r="M35" s="245"/>
    </row>
    <row r="36" spans="1:13" s="426" customFormat="1" ht="11.25" hidden="1" customHeight="1" x14ac:dyDescent="0.2">
      <c r="A36" s="258"/>
      <c r="B36" s="245"/>
      <c r="C36" s="245"/>
      <c r="D36" s="245"/>
      <c r="E36" s="245"/>
      <c r="F36" s="245"/>
      <c r="G36" s="21"/>
      <c r="H36" s="245"/>
      <c r="I36" s="245"/>
      <c r="J36" s="245"/>
      <c r="K36" s="245"/>
      <c r="L36" s="245"/>
      <c r="M36" s="245"/>
    </row>
    <row r="37" spans="1:13" s="426" customFormat="1" ht="11.25" hidden="1" customHeight="1" x14ac:dyDescent="0.2">
      <c r="A37" s="258"/>
      <c r="B37" s="245"/>
      <c r="C37" s="245"/>
      <c r="D37" s="245"/>
      <c r="E37" s="245"/>
      <c r="F37" s="245"/>
      <c r="G37" s="21"/>
      <c r="H37" s="245"/>
      <c r="I37" s="245"/>
      <c r="J37" s="245"/>
      <c r="K37" s="245"/>
      <c r="L37" s="245"/>
      <c r="M37" s="245"/>
    </row>
    <row r="38" spans="1:13" s="426" customFormat="1" ht="11.25" hidden="1" customHeight="1" x14ac:dyDescent="0.2">
      <c r="A38" s="258"/>
      <c r="B38" s="245"/>
      <c r="C38" s="245"/>
      <c r="D38" s="245"/>
      <c r="E38" s="245"/>
      <c r="F38" s="245"/>
      <c r="G38" s="21"/>
      <c r="H38" s="245"/>
      <c r="I38" s="245"/>
      <c r="J38" s="245"/>
      <c r="K38" s="245"/>
      <c r="L38" s="245"/>
      <c r="M38" s="245"/>
    </row>
    <row r="39" spans="1:13" s="426" customFormat="1" ht="11.25" hidden="1" customHeight="1" x14ac:dyDescent="0.2">
      <c r="A39" s="258"/>
      <c r="B39" s="245"/>
      <c r="C39" s="245"/>
      <c r="D39" s="245"/>
      <c r="E39" s="245"/>
      <c r="F39" s="245"/>
      <c r="G39" s="21"/>
      <c r="H39" s="245"/>
      <c r="I39" s="245"/>
      <c r="J39" s="245"/>
      <c r="K39" s="245"/>
      <c r="L39" s="245"/>
      <c r="M39" s="245"/>
    </row>
    <row r="40" spans="1:13" ht="11.25" hidden="1" customHeight="1" x14ac:dyDescent="0.2">
      <c r="A40" s="18"/>
      <c r="B40" s="18"/>
      <c r="C40" s="18"/>
      <c r="D40" s="18"/>
      <c r="E40" s="18"/>
      <c r="F40" s="18"/>
      <c r="G40" s="19"/>
      <c r="H40" s="19"/>
      <c r="I40" s="19"/>
      <c r="J40" s="19"/>
      <c r="K40" s="19"/>
      <c r="L40" s="19"/>
      <c r="M40" s="19"/>
    </row>
    <row r="41" spans="1:13" s="429" customFormat="1" ht="11.25" customHeight="1" x14ac:dyDescent="0.2">
      <c r="A41" s="147"/>
      <c r="B41" s="249" t="s">
        <v>156</v>
      </c>
      <c r="C41" s="249" t="s">
        <v>205</v>
      </c>
      <c r="D41" s="249" t="s">
        <v>234</v>
      </c>
      <c r="E41" s="249" t="s">
        <v>235</v>
      </c>
      <c r="F41" s="249" t="s">
        <v>236</v>
      </c>
      <c r="G41" s="249" t="s">
        <v>237</v>
      </c>
      <c r="H41" s="249" t="s">
        <v>238</v>
      </c>
      <c r="I41" s="249" t="s">
        <v>239</v>
      </c>
      <c r="J41" s="249" t="s">
        <v>240</v>
      </c>
      <c r="K41" s="328" t="s">
        <v>241</v>
      </c>
      <c r="L41" s="328" t="s">
        <v>242</v>
      </c>
    </row>
    <row r="42" spans="1:13" ht="11.25" customHeight="1" x14ac:dyDescent="0.2">
      <c r="A42" s="153" t="s">
        <v>151</v>
      </c>
      <c r="B42" s="148" t="s">
        <v>157</v>
      </c>
      <c r="C42" s="246" t="s">
        <v>155</v>
      </c>
      <c r="D42" s="246"/>
      <c r="E42" s="246"/>
      <c r="F42" s="246"/>
      <c r="G42" s="246"/>
      <c r="H42" s="246"/>
      <c r="I42" s="246"/>
      <c r="J42" s="246"/>
      <c r="K42" s="149"/>
      <c r="L42" s="149"/>
    </row>
    <row r="43" spans="1:13" ht="11.25" customHeight="1" x14ac:dyDescent="0.2">
      <c r="A43" s="150"/>
      <c r="B43" s="151"/>
      <c r="C43" s="248" t="s">
        <v>154</v>
      </c>
      <c r="D43" s="248"/>
      <c r="E43" s="248"/>
      <c r="F43" s="248"/>
      <c r="G43" s="248"/>
      <c r="H43" s="248"/>
      <c r="I43" s="248"/>
      <c r="J43" s="248"/>
      <c r="K43" s="152"/>
      <c r="L43" s="152"/>
    </row>
    <row r="44" spans="1:13" ht="11.25" customHeight="1" x14ac:dyDescent="0.2">
      <c r="A44" s="579" t="s">
        <v>785</v>
      </c>
      <c r="B44" s="748"/>
      <c r="C44" s="748"/>
      <c r="D44" s="748"/>
      <c r="E44" s="748"/>
      <c r="F44" s="748"/>
      <c r="G44" s="748"/>
      <c r="H44" s="748"/>
      <c r="I44" s="748"/>
      <c r="J44" s="748"/>
      <c r="K44" s="749"/>
      <c r="L44" s="750"/>
    </row>
    <row r="45" spans="1:13" ht="11.25" customHeight="1" x14ac:dyDescent="0.2">
      <c r="A45" s="580"/>
      <c r="B45" s="748"/>
      <c r="C45" s="748"/>
      <c r="D45" s="748"/>
      <c r="E45" s="748"/>
      <c r="F45" s="748"/>
      <c r="G45" s="748"/>
      <c r="H45" s="748"/>
      <c r="I45" s="748"/>
      <c r="J45" s="748"/>
      <c r="K45" s="749"/>
      <c r="L45" s="750"/>
    </row>
    <row r="46" spans="1:13" ht="11.25" customHeight="1" x14ac:dyDescent="0.2">
      <c r="A46" s="580"/>
      <c r="B46" s="748"/>
      <c r="C46" s="748"/>
      <c r="D46" s="748"/>
      <c r="E46" s="748"/>
      <c r="F46" s="748"/>
      <c r="G46" s="748"/>
      <c r="H46" s="748"/>
      <c r="I46" s="748"/>
      <c r="J46" s="748"/>
      <c r="K46" s="749"/>
      <c r="L46" s="750"/>
    </row>
    <row r="47" spans="1:13" ht="11.25" customHeight="1" x14ac:dyDescent="0.2">
      <c r="A47" s="580"/>
      <c r="B47" s="748"/>
      <c r="C47" s="748"/>
      <c r="D47" s="748"/>
      <c r="E47" s="748"/>
      <c r="F47" s="748"/>
      <c r="G47" s="748"/>
      <c r="H47" s="748"/>
      <c r="I47" s="748"/>
      <c r="J47" s="748"/>
      <c r="K47" s="749"/>
      <c r="L47" s="750"/>
    </row>
    <row r="48" spans="1:13" ht="11.25" customHeight="1" x14ac:dyDescent="0.2">
      <c r="A48" s="580"/>
      <c r="B48" s="748"/>
      <c r="C48" s="748"/>
      <c r="D48" s="748"/>
      <c r="E48" s="748"/>
      <c r="F48" s="748"/>
      <c r="G48" s="748"/>
      <c r="H48" s="748"/>
      <c r="I48" s="748"/>
      <c r="J48" s="748"/>
      <c r="K48" s="749"/>
      <c r="L48" s="750"/>
    </row>
    <row r="49" spans="1:14" ht="11.25" customHeight="1" x14ac:dyDescent="0.2">
      <c r="A49" s="579" t="s">
        <v>152</v>
      </c>
      <c r="B49" s="748"/>
      <c r="C49" s="748"/>
      <c r="D49" s="748"/>
      <c r="E49" s="748"/>
      <c r="F49" s="748"/>
      <c r="G49" s="748"/>
      <c r="H49" s="748"/>
      <c r="I49" s="748"/>
      <c r="J49" s="748"/>
      <c r="K49" s="749"/>
      <c r="L49" s="750"/>
    </row>
    <row r="50" spans="1:14" ht="11.25" customHeight="1" x14ac:dyDescent="0.2">
      <c r="A50" s="580"/>
      <c r="B50" s="748"/>
      <c r="C50" s="748"/>
      <c r="D50" s="748"/>
      <c r="E50" s="748"/>
      <c r="F50" s="748"/>
      <c r="G50" s="748"/>
      <c r="H50" s="748"/>
      <c r="I50" s="748"/>
      <c r="J50" s="748"/>
      <c r="K50" s="749"/>
      <c r="L50" s="750"/>
    </row>
    <row r="51" spans="1:14" ht="11.25" customHeight="1" x14ac:dyDescent="0.2">
      <c r="A51" s="580"/>
      <c r="B51" s="748"/>
      <c r="C51" s="748"/>
      <c r="D51" s="748"/>
      <c r="E51" s="748"/>
      <c r="F51" s="748"/>
      <c r="G51" s="748"/>
      <c r="H51" s="748"/>
      <c r="I51" s="748"/>
      <c r="J51" s="748"/>
      <c r="K51" s="749"/>
      <c r="L51" s="750"/>
    </row>
    <row r="52" spans="1:14" ht="11.25" customHeight="1" x14ac:dyDescent="0.2">
      <c r="A52" s="580"/>
      <c r="B52" s="748"/>
      <c r="C52" s="748"/>
      <c r="D52" s="748"/>
      <c r="E52" s="748"/>
      <c r="F52" s="748"/>
      <c r="G52" s="748"/>
      <c r="H52" s="748"/>
      <c r="I52" s="748"/>
      <c r="J52" s="748"/>
      <c r="K52" s="749"/>
      <c r="L52" s="750"/>
    </row>
    <row r="53" spans="1:14" ht="11.25" customHeight="1" x14ac:dyDescent="0.2">
      <c r="A53" s="581"/>
      <c r="B53" s="751"/>
      <c r="C53" s="751"/>
      <c r="D53" s="751"/>
      <c r="E53" s="751"/>
      <c r="F53" s="751"/>
      <c r="G53" s="751"/>
      <c r="H53" s="751"/>
      <c r="I53" s="751"/>
      <c r="J53" s="751"/>
      <c r="K53" s="752"/>
      <c r="L53" s="753"/>
    </row>
    <row r="54" spans="1:14" ht="11.25" customHeight="1" x14ac:dyDescent="0.2">
      <c r="A54" s="581" t="s">
        <v>243</v>
      </c>
      <c r="B54" s="754"/>
      <c r="C54" s="754"/>
      <c r="D54" s="754"/>
      <c r="E54" s="754"/>
      <c r="F54" s="754"/>
      <c r="G54" s="754"/>
      <c r="H54" s="754"/>
      <c r="I54" s="754"/>
      <c r="J54" s="754"/>
      <c r="K54" s="752"/>
      <c r="L54" s="755"/>
    </row>
    <row r="55" spans="1:14" ht="11.25" customHeight="1" x14ac:dyDescent="0.2">
      <c r="A55" s="581" t="s">
        <v>779</v>
      </c>
      <c r="B55" s="754"/>
      <c r="C55" s="754"/>
      <c r="D55" s="754"/>
      <c r="E55" s="754"/>
      <c r="F55" s="754"/>
      <c r="G55" s="754"/>
      <c r="H55" s="754"/>
      <c r="I55" s="754"/>
      <c r="J55" s="754"/>
      <c r="K55" s="752"/>
      <c r="L55" s="755"/>
    </row>
    <row r="56" spans="1:14" ht="11.25" customHeight="1" x14ac:dyDescent="0.2">
      <c r="A56" s="581" t="s">
        <v>780</v>
      </c>
      <c r="B56" s="754"/>
      <c r="C56" s="754"/>
      <c r="D56" s="754"/>
      <c r="E56" s="754"/>
      <c r="F56" s="754"/>
      <c r="G56" s="754"/>
      <c r="H56" s="754"/>
      <c r="I56" s="754"/>
      <c r="J56" s="754"/>
      <c r="K56" s="752"/>
      <c r="L56" s="755"/>
    </row>
    <row r="57" spans="1:14" ht="11.25" customHeight="1" x14ac:dyDescent="0.2">
      <c r="A57" s="581" t="s">
        <v>781</v>
      </c>
      <c r="B57" s="754"/>
      <c r="C57" s="754"/>
      <c r="D57" s="754"/>
      <c r="E57" s="754"/>
      <c r="F57" s="754"/>
      <c r="G57" s="754"/>
      <c r="H57" s="754"/>
      <c r="I57" s="754"/>
      <c r="J57" s="754"/>
      <c r="K57" s="752"/>
      <c r="L57" s="755"/>
      <c r="M57" s="426"/>
      <c r="N57" s="426"/>
    </row>
    <row r="58" spans="1:14" ht="11.25" customHeight="1" x14ac:dyDescent="0.2">
      <c r="A58" s="581" t="s">
        <v>782</v>
      </c>
      <c r="B58" s="754"/>
      <c r="C58" s="754"/>
      <c r="D58" s="754"/>
      <c r="E58" s="754"/>
      <c r="F58" s="754"/>
      <c r="G58" s="754"/>
      <c r="H58" s="754"/>
      <c r="I58" s="754"/>
      <c r="J58" s="754"/>
      <c r="K58" s="752"/>
      <c r="L58" s="755"/>
      <c r="M58" s="426"/>
      <c r="N58" s="426"/>
    </row>
    <row r="59" spans="1:14" ht="12.75" x14ac:dyDescent="0.2">
      <c r="A59" s="1100" t="s">
        <v>1038</v>
      </c>
      <c r="B59" s="1101"/>
      <c r="C59" s="1101"/>
      <c r="D59" s="1101"/>
      <c r="E59" s="1101"/>
      <c r="F59" s="1101"/>
      <c r="G59" s="1101"/>
      <c r="H59" s="1101"/>
      <c r="I59" s="1101"/>
      <c r="J59" s="1101"/>
      <c r="K59" s="1101"/>
      <c r="L59" s="1101"/>
      <c r="M59" s="260"/>
      <c r="N59" s="426"/>
    </row>
    <row r="60" spans="1:14" ht="11.25" customHeight="1" x14ac:dyDescent="0.2">
      <c r="A60" s="426"/>
    </row>
    <row r="65" spans="1:12" ht="11.25" customHeight="1" x14ac:dyDescent="0.2">
      <c r="A65" s="899" t="s">
        <v>1024</v>
      </c>
      <c r="B65" s="505" t="s">
        <v>1026</v>
      </c>
      <c r="C65" s="899"/>
      <c r="D65" s="503"/>
      <c r="E65" s="503"/>
      <c r="F65" s="503"/>
      <c r="G65" s="503"/>
      <c r="H65" s="900" t="s">
        <v>1028</v>
      </c>
      <c r="I65" s="3"/>
      <c r="J65" s="3"/>
      <c r="K65" s="3"/>
      <c r="L65" s="3"/>
    </row>
    <row r="66" spans="1:12" ht="11.25" customHeight="1" x14ac:dyDescent="0.2">
      <c r="A66" s="901" t="s">
        <v>1025</v>
      </c>
      <c r="B66" s="505" t="s">
        <v>1027</v>
      </c>
      <c r="C66" s="901"/>
      <c r="D66" s="901"/>
      <c r="E66" s="901"/>
      <c r="F66" s="901"/>
      <c r="G66" s="901"/>
      <c r="H66" s="901" t="s">
        <v>1029</v>
      </c>
      <c r="I66" s="3"/>
      <c r="J66" s="3"/>
      <c r="K66" s="3"/>
      <c r="L66" s="3"/>
    </row>
    <row r="67" spans="1:12" ht="11.25" customHeight="1" x14ac:dyDescent="0.2">
      <c r="B67" s="503" t="s">
        <v>1040</v>
      </c>
      <c r="D67" s="898"/>
      <c r="E67" s="898"/>
      <c r="F67" s="898"/>
      <c r="G67" s="898"/>
      <c r="H67" s="898" t="s">
        <v>1041</v>
      </c>
    </row>
  </sheetData>
  <mergeCells count="11">
    <mergeCell ref="A14:M14"/>
    <mergeCell ref="A11:M11"/>
    <mergeCell ref="A13:M13"/>
    <mergeCell ref="K16:L16"/>
    <mergeCell ref="A15:M15"/>
    <mergeCell ref="C17:D17"/>
    <mergeCell ref="A59:L59"/>
    <mergeCell ref="D18:D19"/>
    <mergeCell ref="A17:A18"/>
    <mergeCell ref="F16:G16"/>
    <mergeCell ref="H16:I16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/>
  <dimension ref="A1:W181"/>
  <sheetViews>
    <sheetView showGridLines="0" zoomScaleNormal="100" workbookViewId="0"/>
  </sheetViews>
  <sheetFormatPr defaultColWidth="1" defaultRowHeight="11.25" customHeight="1" x14ac:dyDescent="0.2"/>
  <cols>
    <col min="1" max="1" width="84.7109375" style="4" customWidth="1"/>
    <col min="2" max="2" width="19" style="4" customWidth="1"/>
    <col min="3" max="3" width="19" style="13" customWidth="1"/>
    <col min="4" max="5" width="19" style="4" customWidth="1"/>
    <col min="6" max="59" width="15.7109375" style="4" customWidth="1"/>
    <col min="60" max="16384" width="1" style="4"/>
  </cols>
  <sheetData>
    <row r="1" spans="1:23" s="31" customFormat="1" ht="12.75" x14ac:dyDescent="0.2">
      <c r="C1" s="433"/>
    </row>
    <row r="2" spans="1:23" s="31" customFormat="1" ht="25.5" customHeight="1" x14ac:dyDescent="0.35">
      <c r="A2" s="847" t="s">
        <v>1019</v>
      </c>
      <c r="C2" s="433"/>
    </row>
    <row r="3" spans="1:23" s="31" customFormat="1" ht="15.75" customHeight="1" x14ac:dyDescent="0.25">
      <c r="A3" s="84" t="s">
        <v>1020</v>
      </c>
      <c r="C3" s="433"/>
    </row>
    <row r="4" spans="1:23" s="31" customFormat="1" ht="15.75" customHeight="1" x14ac:dyDescent="0.25">
      <c r="A4" s="84" t="s">
        <v>1021</v>
      </c>
      <c r="C4" s="433"/>
    </row>
    <row r="5" spans="1:23" s="31" customFormat="1" ht="15.75" customHeight="1" x14ac:dyDescent="0.25">
      <c r="A5" s="84" t="s">
        <v>1022</v>
      </c>
      <c r="C5" s="433"/>
    </row>
    <row r="6" spans="1:23" s="31" customFormat="1" ht="15.75" x14ac:dyDescent="0.25">
      <c r="A6" s="455" t="s">
        <v>373</v>
      </c>
      <c r="B6" s="455"/>
      <c r="C6" s="455"/>
      <c r="D6" s="455"/>
      <c r="E6" s="45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s="31" customFormat="1" ht="12.75" x14ac:dyDescent="0.2">
      <c r="A7" s="60"/>
      <c r="C7" s="433"/>
    </row>
    <row r="8" spans="1:23" ht="12.75" x14ac:dyDescent="0.2">
      <c r="A8" s="17" t="s">
        <v>1019</v>
      </c>
      <c r="B8" s="218"/>
      <c r="C8" s="218"/>
      <c r="D8" s="218"/>
      <c r="E8" s="218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</row>
    <row r="9" spans="1:23" s="31" customFormat="1" ht="12.75" x14ac:dyDescent="0.2">
      <c r="A9" s="453" t="s">
        <v>74</v>
      </c>
      <c r="B9" s="453"/>
      <c r="C9" s="453"/>
      <c r="D9" s="453"/>
      <c r="E9" s="453"/>
      <c r="F9" s="453"/>
      <c r="G9" s="453"/>
      <c r="H9" s="453"/>
      <c r="I9" s="453"/>
      <c r="J9" s="453"/>
      <c r="K9" s="453"/>
      <c r="L9" s="453"/>
      <c r="M9" s="453"/>
      <c r="N9" s="453"/>
      <c r="O9" s="453"/>
      <c r="P9" s="453"/>
      <c r="Q9" s="453"/>
      <c r="R9" s="453"/>
      <c r="S9" s="453"/>
      <c r="T9" s="453"/>
      <c r="U9" s="453"/>
      <c r="V9" s="453"/>
      <c r="W9" s="453"/>
    </row>
    <row r="10" spans="1:23" s="31" customFormat="1" ht="12.75" x14ac:dyDescent="0.2">
      <c r="A10" s="217" t="s">
        <v>230</v>
      </c>
      <c r="B10" s="217"/>
      <c r="C10" s="217"/>
      <c r="D10" s="217"/>
      <c r="E10" s="217"/>
    </row>
    <row r="11" spans="1:23" s="31" customFormat="1" ht="12.75" x14ac:dyDescent="0.2">
      <c r="A11" s="920" t="s">
        <v>76</v>
      </c>
      <c r="B11" s="920"/>
      <c r="C11" s="920"/>
      <c r="D11" s="920"/>
      <c r="E11" s="920"/>
    </row>
    <row r="12" spans="1:23" s="31" customFormat="1" ht="12.75" x14ac:dyDescent="0.2">
      <c r="A12" s="4" t="s">
        <v>1023</v>
      </c>
      <c r="B12" s="766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</row>
    <row r="13" spans="1:23" s="31" customFormat="1" ht="12.75" hidden="1" x14ac:dyDescent="0.2">
      <c r="A13" s="920"/>
      <c r="B13" s="920"/>
      <c r="C13" s="920"/>
      <c r="D13" s="920"/>
      <c r="E13" s="920"/>
    </row>
    <row r="14" spans="1:23" s="31" customFormat="1" ht="12.75" hidden="1" x14ac:dyDescent="0.2">
      <c r="A14" s="920"/>
      <c r="B14" s="920"/>
      <c r="C14" s="920"/>
      <c r="D14" s="920"/>
      <c r="E14" s="920"/>
    </row>
    <row r="15" spans="1:23" s="31" customFormat="1" ht="11.25" hidden="1" customHeight="1" x14ac:dyDescent="0.2">
      <c r="A15" s="218"/>
      <c r="B15" s="218"/>
      <c r="C15" s="218"/>
      <c r="D15" s="218"/>
      <c r="E15" s="218"/>
    </row>
    <row r="16" spans="1:23" s="31" customFormat="1" ht="11.25" hidden="1" customHeight="1" x14ac:dyDescent="0.2">
      <c r="A16" s="218"/>
      <c r="B16" s="218"/>
      <c r="C16" s="218"/>
      <c r="D16" s="218"/>
      <c r="E16" s="218"/>
    </row>
    <row r="17" spans="1:6" s="31" customFormat="1" ht="12.75" x14ac:dyDescent="0.2">
      <c r="A17" s="28"/>
      <c r="B17" s="28"/>
      <c r="C17" s="28"/>
      <c r="D17" s="28"/>
      <c r="E17" s="28"/>
    </row>
    <row r="18" spans="1:6" s="31" customFormat="1" ht="12.75" x14ac:dyDescent="0.2">
      <c r="A18" s="31" t="s">
        <v>5</v>
      </c>
      <c r="B18" s="34" t="s">
        <v>417</v>
      </c>
      <c r="C18" s="433"/>
    </row>
    <row r="19" spans="1:6" s="3" customFormat="1" ht="21" customHeight="1" x14ac:dyDescent="0.2">
      <c r="A19" s="154" t="s">
        <v>75</v>
      </c>
      <c r="B19" s="811" t="str">
        <f>CONCATENATE("Até o  ", B12)</f>
        <v>Até o  Bimestre</v>
      </c>
      <c r="C19" s="266"/>
      <c r="D19" s="266"/>
      <c r="E19" s="266"/>
      <c r="F19" s="266"/>
    </row>
    <row r="20" spans="1:6" ht="11.25" customHeight="1" x14ac:dyDescent="0.2">
      <c r="A20" s="22" t="s">
        <v>79</v>
      </c>
      <c r="B20" s="756"/>
      <c r="C20" s="257"/>
      <c r="D20" s="257"/>
      <c r="E20" s="257"/>
      <c r="F20" s="257"/>
    </row>
    <row r="21" spans="1:6" ht="11.25" customHeight="1" x14ac:dyDescent="0.2">
      <c r="A21" s="5" t="s">
        <v>335</v>
      </c>
      <c r="B21" s="757">
        <f>'RREO-Anexo 01'!B96</f>
        <v>1079000000</v>
      </c>
      <c r="C21" s="257"/>
      <c r="D21" s="257"/>
      <c r="E21" s="257"/>
      <c r="F21" s="257"/>
    </row>
    <row r="22" spans="1:6" ht="11.25" customHeight="1" x14ac:dyDescent="0.2">
      <c r="A22" s="5" t="s">
        <v>336</v>
      </c>
      <c r="B22" s="757">
        <f>'RREO-Anexo 01'!C96</f>
        <v>1121341961.45</v>
      </c>
      <c r="C22" s="257"/>
      <c r="D22" s="257"/>
      <c r="E22" s="257"/>
      <c r="F22" s="257"/>
    </row>
    <row r="23" spans="1:6" ht="11.25" customHeight="1" x14ac:dyDescent="0.2">
      <c r="A23" s="5" t="s">
        <v>41</v>
      </c>
      <c r="B23" s="757">
        <f>'RREO-Anexo 01'!F96</f>
        <v>1390663224.5400004</v>
      </c>
      <c r="C23" s="257"/>
      <c r="D23" s="257"/>
      <c r="E23" s="257"/>
      <c r="F23" s="257"/>
    </row>
    <row r="24" spans="1:6" ht="11.25" customHeight="1" x14ac:dyDescent="0.2">
      <c r="A24" s="5" t="s">
        <v>42</v>
      </c>
      <c r="B24" s="757">
        <f>'RREO-Anexo 01'!F95</f>
        <v>0</v>
      </c>
      <c r="C24" s="257"/>
      <c r="D24" s="257"/>
      <c r="E24" s="257"/>
      <c r="F24" s="257"/>
    </row>
    <row r="25" spans="1:6" ht="11.25" customHeight="1" x14ac:dyDescent="0.2">
      <c r="A25" s="5" t="s">
        <v>43</v>
      </c>
      <c r="B25" s="757">
        <f>'RREO-Anexo 01'!C97</f>
        <v>253025007.86000001</v>
      </c>
      <c r="C25" s="257"/>
      <c r="D25" s="257"/>
      <c r="E25" s="257"/>
      <c r="F25" s="257"/>
    </row>
    <row r="26" spans="1:6" ht="11.25" customHeight="1" x14ac:dyDescent="0.2">
      <c r="A26" s="22" t="s">
        <v>112</v>
      </c>
      <c r="B26" s="757"/>
      <c r="C26" s="257"/>
      <c r="D26" s="257"/>
      <c r="E26" s="257"/>
      <c r="F26" s="257"/>
    </row>
    <row r="27" spans="1:6" ht="11.25" customHeight="1" x14ac:dyDescent="0.2">
      <c r="A27" s="2" t="s">
        <v>44</v>
      </c>
      <c r="B27" s="757">
        <f>'RREO-Anexo 01'!B127</f>
        <v>1053358800</v>
      </c>
      <c r="C27" s="257"/>
      <c r="D27" s="257"/>
      <c r="E27" s="257"/>
      <c r="F27" s="257"/>
    </row>
    <row r="28" spans="1:6" ht="11.25" customHeight="1" x14ac:dyDescent="0.2">
      <c r="A28" s="2" t="s">
        <v>49</v>
      </c>
      <c r="B28" s="757">
        <f>B29-B27</f>
        <v>301551969.30999994</v>
      </c>
      <c r="C28" s="257"/>
      <c r="D28" s="257"/>
      <c r="E28" s="257"/>
      <c r="F28" s="257"/>
    </row>
    <row r="29" spans="1:6" ht="11.25" customHeight="1" x14ac:dyDescent="0.2">
      <c r="A29" s="2" t="s">
        <v>45</v>
      </c>
      <c r="B29" s="757">
        <f>'RREO-Anexo 01'!C127</f>
        <v>1354910769.3099999</v>
      </c>
      <c r="C29" s="257"/>
      <c r="D29" s="257"/>
      <c r="E29" s="257"/>
      <c r="F29" s="257"/>
    </row>
    <row r="30" spans="1:6" ht="11.25" customHeight="1" x14ac:dyDescent="0.2">
      <c r="A30" s="2" t="s">
        <v>46</v>
      </c>
      <c r="B30" s="757">
        <f>'RREO-Anexo 01'!E127</f>
        <v>1236633185.26</v>
      </c>
      <c r="C30" s="257"/>
      <c r="D30" s="257"/>
      <c r="E30" s="257"/>
      <c r="F30" s="257"/>
    </row>
    <row r="31" spans="1:6" ht="11.25" customHeight="1" x14ac:dyDescent="0.2">
      <c r="A31" s="5" t="s">
        <v>47</v>
      </c>
      <c r="B31" s="757">
        <f>'RREO-Anexo 01'!H127</f>
        <v>1166946575.73</v>
      </c>
      <c r="C31" s="257"/>
      <c r="D31" s="257"/>
      <c r="E31" s="257"/>
      <c r="F31" s="257"/>
    </row>
    <row r="32" spans="1:6" ht="11.25" customHeight="1" x14ac:dyDescent="0.2">
      <c r="A32" s="2" t="s">
        <v>678</v>
      </c>
      <c r="B32" s="757">
        <f>'RREO-Anexo 01'!J127</f>
        <v>1138044426.6800001</v>
      </c>
      <c r="C32" s="257"/>
      <c r="D32" s="257"/>
      <c r="E32" s="257"/>
      <c r="F32" s="257"/>
    </row>
    <row r="33" spans="1:6" ht="11.25" customHeight="1" x14ac:dyDescent="0.2">
      <c r="A33" s="6" t="s">
        <v>48</v>
      </c>
      <c r="B33" s="758">
        <f>IF(A12="Período: 6º Bimestre",'RREO-Anexo 01'!E128,'RREO-Anexo 01'!H128)</f>
        <v>154030039.28000045</v>
      </c>
      <c r="C33" s="257"/>
      <c r="D33" s="257"/>
      <c r="E33" s="257"/>
      <c r="F33" s="257"/>
    </row>
    <row r="34" spans="1:6" ht="11.25" customHeight="1" x14ac:dyDescent="0.2">
      <c r="A34" s="261"/>
      <c r="B34" s="329"/>
      <c r="C34" s="257"/>
      <c r="D34" s="257"/>
      <c r="E34" s="257"/>
      <c r="F34" s="257"/>
    </row>
    <row r="35" spans="1:6" ht="11.25" hidden="1" customHeight="1" x14ac:dyDescent="0.2">
      <c r="A35" s="2"/>
      <c r="B35" s="330"/>
      <c r="C35" s="257"/>
      <c r="D35" s="257"/>
      <c r="E35" s="257"/>
      <c r="F35" s="257"/>
    </row>
    <row r="36" spans="1:6" ht="11.25" hidden="1" customHeight="1" x14ac:dyDescent="0.2">
      <c r="A36" s="2"/>
      <c r="B36" s="330"/>
      <c r="C36" s="257"/>
      <c r="D36" s="257"/>
      <c r="E36" s="257"/>
      <c r="F36" s="257"/>
    </row>
    <row r="37" spans="1:6" ht="11.25" hidden="1" customHeight="1" x14ac:dyDescent="0.2">
      <c r="A37" s="2"/>
      <c r="B37" s="330"/>
      <c r="C37" s="257"/>
      <c r="D37" s="257"/>
      <c r="E37" s="257"/>
      <c r="F37" s="257"/>
    </row>
    <row r="38" spans="1:6" ht="11.25" hidden="1" customHeight="1" x14ac:dyDescent="0.2">
      <c r="A38" s="2"/>
      <c r="B38" s="330"/>
      <c r="C38" s="257"/>
      <c r="D38" s="257"/>
      <c r="E38" s="257"/>
      <c r="F38" s="257"/>
    </row>
    <row r="39" spans="1:6" ht="11.25" hidden="1" customHeight="1" x14ac:dyDescent="0.2">
      <c r="A39" s="2"/>
      <c r="B39" s="330"/>
      <c r="C39" s="257"/>
      <c r="D39" s="257"/>
      <c r="E39" s="257"/>
      <c r="F39" s="257"/>
    </row>
    <row r="40" spans="1:6" ht="11.25" hidden="1" customHeight="1" x14ac:dyDescent="0.2">
      <c r="A40" s="6"/>
      <c r="B40" s="331"/>
      <c r="C40" s="257"/>
      <c r="D40" s="257"/>
      <c r="E40" s="257"/>
      <c r="F40" s="257"/>
    </row>
    <row r="41" spans="1:6" s="3" customFormat="1" ht="21" customHeight="1" x14ac:dyDescent="0.2">
      <c r="A41" s="162" t="s">
        <v>233</v>
      </c>
      <c r="B41" s="810" t="str">
        <f>CONCATENATE("Até o  ", B12)</f>
        <v>Até o  Bimestre</v>
      </c>
      <c r="C41" s="266"/>
      <c r="D41" s="266"/>
      <c r="E41" s="266"/>
      <c r="F41" s="266"/>
    </row>
    <row r="42" spans="1:6" ht="11.25" customHeight="1" x14ac:dyDescent="0.2">
      <c r="A42" s="7" t="s">
        <v>231</v>
      </c>
      <c r="B42" s="756">
        <f>'RREO-Anexo 02'!E213</f>
        <v>1236633185.26</v>
      </c>
      <c r="C42" s="257"/>
      <c r="D42" s="257"/>
      <c r="E42" s="257"/>
      <c r="F42" s="257"/>
    </row>
    <row r="43" spans="1:6" ht="11.25" customHeight="1" x14ac:dyDescent="0.2">
      <c r="A43" s="11" t="s">
        <v>232</v>
      </c>
      <c r="B43" s="758">
        <f>'RREO-Anexo 02'!I213</f>
        <v>1166946575.73</v>
      </c>
      <c r="C43" s="257"/>
      <c r="D43" s="257"/>
      <c r="E43" s="257"/>
      <c r="F43" s="257"/>
    </row>
    <row r="44" spans="1:6" ht="11.25" customHeight="1" x14ac:dyDescent="0.2">
      <c r="A44" s="2"/>
      <c r="B44" s="330"/>
      <c r="C44" s="257"/>
      <c r="D44" s="257"/>
      <c r="E44" s="257"/>
      <c r="F44" s="257"/>
    </row>
    <row r="45" spans="1:6" ht="11.25" hidden="1" customHeight="1" x14ac:dyDescent="0.2">
      <c r="A45" s="2"/>
      <c r="B45" s="330"/>
      <c r="C45" s="257"/>
      <c r="D45" s="257"/>
      <c r="E45" s="257"/>
      <c r="F45" s="257"/>
    </row>
    <row r="46" spans="1:6" ht="11.25" hidden="1" customHeight="1" x14ac:dyDescent="0.2">
      <c r="A46" s="2"/>
      <c r="B46" s="330"/>
      <c r="C46" s="257"/>
      <c r="D46" s="257"/>
      <c r="E46" s="257"/>
      <c r="F46" s="257"/>
    </row>
    <row r="47" spans="1:6" ht="11.25" hidden="1" customHeight="1" x14ac:dyDescent="0.2">
      <c r="A47" s="2"/>
      <c r="B47" s="330"/>
      <c r="C47" s="257"/>
      <c r="D47" s="257"/>
      <c r="E47" s="257"/>
      <c r="F47" s="257"/>
    </row>
    <row r="48" spans="1:6" ht="11.25" hidden="1" customHeight="1" x14ac:dyDescent="0.2">
      <c r="A48" s="2"/>
      <c r="B48" s="330"/>
      <c r="C48" s="257"/>
      <c r="D48" s="257"/>
      <c r="E48" s="257"/>
      <c r="F48" s="257"/>
    </row>
    <row r="49" spans="1:6" ht="11.25" hidden="1" customHeight="1" x14ac:dyDescent="0.2">
      <c r="A49" s="2"/>
      <c r="B49" s="330"/>
      <c r="C49" s="257"/>
      <c r="D49" s="257"/>
      <c r="E49" s="257"/>
      <c r="F49" s="257"/>
    </row>
    <row r="50" spans="1:6" ht="11.25" hidden="1" customHeight="1" x14ac:dyDescent="0.2">
      <c r="A50" s="2"/>
      <c r="B50" s="330"/>
      <c r="C50" s="257"/>
      <c r="D50" s="257"/>
      <c r="E50" s="257"/>
      <c r="F50" s="257"/>
    </row>
    <row r="51" spans="1:6" s="3" customFormat="1" ht="23.25" customHeight="1" x14ac:dyDescent="0.2">
      <c r="A51" s="250" t="s">
        <v>244</v>
      </c>
      <c r="B51" s="811" t="str">
        <f>CONCATENATE("Até o  ", B12)</f>
        <v>Até o  Bimestre</v>
      </c>
      <c r="C51" s="266"/>
      <c r="D51" s="266"/>
      <c r="E51" s="266"/>
      <c r="F51" s="266"/>
    </row>
    <row r="52" spans="1:6" ht="11.25" customHeight="1" x14ac:dyDescent="0.2">
      <c r="A52" s="8" t="s">
        <v>245</v>
      </c>
      <c r="B52" s="759">
        <f>'RREO-Anexo 03'!N49</f>
        <v>1069523066.7799999</v>
      </c>
      <c r="C52" s="257"/>
      <c r="D52" s="257"/>
      <c r="E52" s="257"/>
      <c r="F52" s="257"/>
    </row>
    <row r="53" spans="1:6" ht="11.25" customHeight="1" x14ac:dyDescent="0.2">
      <c r="A53" s="2"/>
      <c r="B53" s="330"/>
      <c r="C53" s="257"/>
      <c r="D53" s="257"/>
      <c r="E53" s="257"/>
      <c r="F53" s="257"/>
    </row>
    <row r="54" spans="1:6" ht="11.25" hidden="1" customHeight="1" x14ac:dyDescent="0.2">
      <c r="A54" s="2"/>
      <c r="B54" s="330"/>
      <c r="C54" s="257"/>
      <c r="D54" s="257"/>
      <c r="E54" s="257"/>
      <c r="F54" s="257"/>
    </row>
    <row r="55" spans="1:6" ht="11.25" hidden="1" customHeight="1" x14ac:dyDescent="0.2">
      <c r="A55" s="2"/>
      <c r="B55" s="330"/>
      <c r="C55" s="257"/>
      <c r="D55" s="257"/>
      <c r="E55" s="257"/>
      <c r="F55" s="257"/>
    </row>
    <row r="56" spans="1:6" ht="11.25" hidden="1" customHeight="1" x14ac:dyDescent="0.2">
      <c r="A56" s="2"/>
      <c r="B56" s="330"/>
      <c r="C56" s="257"/>
      <c r="D56" s="257"/>
      <c r="E56" s="257"/>
      <c r="F56" s="257"/>
    </row>
    <row r="57" spans="1:6" ht="11.25" hidden="1" customHeight="1" x14ac:dyDescent="0.2">
      <c r="A57" s="2"/>
      <c r="B57" s="330"/>
      <c r="C57" s="257"/>
      <c r="D57" s="257"/>
      <c r="E57" s="257"/>
      <c r="F57" s="257"/>
    </row>
    <row r="58" spans="1:6" ht="11.25" hidden="1" customHeight="1" x14ac:dyDescent="0.2">
      <c r="A58" s="2"/>
      <c r="B58" s="330"/>
      <c r="C58" s="257"/>
      <c r="D58" s="257"/>
      <c r="E58" s="257"/>
      <c r="F58" s="257"/>
    </row>
    <row r="59" spans="1:6" ht="11.25" hidden="1" customHeight="1" x14ac:dyDescent="0.2">
      <c r="A59" s="2"/>
      <c r="B59" s="330"/>
      <c r="C59" s="257"/>
      <c r="D59" s="257"/>
      <c r="E59" s="257"/>
      <c r="F59" s="257"/>
    </row>
    <row r="60" spans="1:6" s="3" customFormat="1" ht="21.75" customHeight="1" x14ac:dyDescent="0.2">
      <c r="A60" s="162" t="s">
        <v>50</v>
      </c>
      <c r="B60" s="811" t="str">
        <f>CONCATENATE("Até o  ", B12)</f>
        <v>Até o  Bimestre</v>
      </c>
      <c r="C60" s="266"/>
      <c r="D60" s="266"/>
      <c r="E60" s="266"/>
      <c r="F60" s="266"/>
    </row>
    <row r="61" spans="1:6" s="17" customFormat="1" ht="11.25" customHeight="1" x14ac:dyDescent="0.2">
      <c r="A61" s="808" t="s">
        <v>959</v>
      </c>
      <c r="B61" s="757"/>
      <c r="C61" s="268"/>
      <c r="D61" s="268"/>
      <c r="E61" s="268"/>
      <c r="F61" s="268"/>
    </row>
    <row r="62" spans="1:6" ht="11.25" customHeight="1" x14ac:dyDescent="0.2">
      <c r="A62" s="808" t="s">
        <v>960</v>
      </c>
      <c r="B62" s="757">
        <f>'RREO-Anexo 04'!D53</f>
        <v>275770813.78000003</v>
      </c>
      <c r="C62" s="257"/>
      <c r="D62" s="257"/>
      <c r="E62" s="257"/>
      <c r="F62" s="257"/>
    </row>
    <row r="63" spans="1:6" ht="11.25" customHeight="1" x14ac:dyDescent="0.2">
      <c r="A63" s="808" t="s">
        <v>961</v>
      </c>
      <c r="B63" s="757">
        <f>'RREO-Anexo 04'!D78</f>
        <v>68061375.379999995</v>
      </c>
      <c r="C63" s="257"/>
      <c r="D63" s="257"/>
      <c r="E63" s="257"/>
      <c r="F63" s="257"/>
    </row>
    <row r="64" spans="1:6" ht="11.25" customHeight="1" x14ac:dyDescent="0.2">
      <c r="A64" s="808" t="s">
        <v>962</v>
      </c>
      <c r="B64" s="757">
        <f>'RREO-Anexo 04'!D79</f>
        <v>207709438.40000004</v>
      </c>
      <c r="C64" s="257"/>
      <c r="D64" s="257"/>
      <c r="E64" s="257"/>
      <c r="F64" s="257"/>
    </row>
    <row r="65" spans="1:6" ht="11.25" customHeight="1" x14ac:dyDescent="0.2">
      <c r="A65" s="808" t="s">
        <v>963</v>
      </c>
      <c r="B65" s="757"/>
      <c r="C65" s="257"/>
      <c r="D65" s="257"/>
      <c r="E65" s="257"/>
      <c r="F65" s="257"/>
    </row>
    <row r="66" spans="1:6" ht="11.25" customHeight="1" x14ac:dyDescent="0.2">
      <c r="A66" s="808" t="s">
        <v>960</v>
      </c>
      <c r="B66" s="757">
        <f>'RREO-Anexo 04'!D162</f>
        <v>0</v>
      </c>
      <c r="C66" s="257"/>
      <c r="D66" s="257"/>
      <c r="E66" s="257"/>
      <c r="F66" s="257"/>
    </row>
    <row r="67" spans="1:6" ht="11.25" customHeight="1" x14ac:dyDescent="0.2">
      <c r="A67" s="808" t="s">
        <v>961</v>
      </c>
      <c r="B67" s="757">
        <f>'RREO-Anexo 04'!D187</f>
        <v>0</v>
      </c>
      <c r="C67" s="257"/>
      <c r="D67" s="257"/>
      <c r="E67" s="257"/>
      <c r="F67" s="257"/>
    </row>
    <row r="68" spans="1:6" ht="11.25" customHeight="1" x14ac:dyDescent="0.2">
      <c r="A68" s="809" t="s">
        <v>962</v>
      </c>
      <c r="B68" s="758">
        <f>'RREO-Anexo 04'!D188</f>
        <v>0</v>
      </c>
      <c r="C68" s="257"/>
      <c r="D68" s="257"/>
      <c r="E68" s="257"/>
      <c r="F68" s="257"/>
    </row>
    <row r="69" spans="1:6" ht="11.25" customHeight="1" x14ac:dyDescent="0.2">
      <c r="A69" s="2"/>
      <c r="B69" s="267"/>
      <c r="C69" s="257"/>
      <c r="D69" s="257"/>
      <c r="E69" s="257"/>
      <c r="F69" s="257"/>
    </row>
    <row r="70" spans="1:6" ht="11.25" hidden="1" customHeight="1" x14ac:dyDescent="0.2">
      <c r="A70" s="2"/>
      <c r="B70" s="267"/>
      <c r="C70" s="257"/>
      <c r="D70" s="257"/>
      <c r="E70" s="257"/>
      <c r="F70" s="257"/>
    </row>
    <row r="71" spans="1:6" ht="11.25" hidden="1" customHeight="1" x14ac:dyDescent="0.2">
      <c r="A71" s="2"/>
      <c r="B71" s="267"/>
      <c r="C71" s="267"/>
      <c r="D71" s="267"/>
      <c r="E71" s="267"/>
      <c r="F71" s="257"/>
    </row>
    <row r="72" spans="1:6" ht="11.25" hidden="1" customHeight="1" x14ac:dyDescent="0.2">
      <c r="B72" s="257"/>
      <c r="C72" s="269"/>
      <c r="D72" s="257"/>
      <c r="E72" s="256"/>
      <c r="F72" s="257"/>
    </row>
    <row r="73" spans="1:6" ht="11.25" customHeight="1" x14ac:dyDescent="0.2">
      <c r="A73" s="155"/>
      <c r="B73" s="270" t="s">
        <v>249</v>
      </c>
      <c r="C73" s="270" t="s">
        <v>250</v>
      </c>
      <c r="D73" s="270" t="s">
        <v>251</v>
      </c>
      <c r="E73" s="257"/>
      <c r="F73" s="257"/>
    </row>
    <row r="74" spans="1:6" ht="11.25" customHeight="1" x14ac:dyDescent="0.2">
      <c r="A74" s="157" t="s">
        <v>252</v>
      </c>
      <c r="B74" s="271" t="s">
        <v>253</v>
      </c>
      <c r="C74" s="271" t="str">
        <f>CONCATENATE("Até o  ", B12)</f>
        <v>Até o  Bimestre</v>
      </c>
      <c r="D74" s="271"/>
      <c r="E74" s="257"/>
      <c r="F74" s="257"/>
    </row>
    <row r="75" spans="1:6" ht="11.25" customHeight="1" x14ac:dyDescent="0.2">
      <c r="A75" s="159"/>
      <c r="B75" s="271" t="s">
        <v>254</v>
      </c>
      <c r="C75" s="271"/>
      <c r="D75" s="271"/>
      <c r="E75" s="257"/>
      <c r="F75" s="257"/>
    </row>
    <row r="76" spans="1:6" ht="11.25" customHeight="1" x14ac:dyDescent="0.2">
      <c r="A76" s="160"/>
      <c r="B76" s="272" t="s">
        <v>85</v>
      </c>
      <c r="C76" s="272" t="s">
        <v>86</v>
      </c>
      <c r="D76" s="271" t="s">
        <v>87</v>
      </c>
      <c r="E76" s="257"/>
      <c r="F76" s="257"/>
    </row>
    <row r="77" spans="1:6" ht="11.25" customHeight="1" x14ac:dyDescent="0.2">
      <c r="A77" s="5" t="s">
        <v>255</v>
      </c>
      <c r="B77" s="375">
        <f>'RREO-Anexo 06'!B103</f>
        <v>19889000</v>
      </c>
      <c r="C77" s="316">
        <f>'RREO-Anexo 06'!B94</f>
        <v>-26523814.899999857</v>
      </c>
      <c r="D77" s="312">
        <f>IF(C77&gt;0,B77*100/C77,0)</f>
        <v>0</v>
      </c>
      <c r="E77" s="257"/>
      <c r="F77" s="257"/>
    </row>
    <row r="78" spans="1:6" ht="11.25" customHeight="1" x14ac:dyDescent="0.2">
      <c r="A78" s="10" t="s">
        <v>256</v>
      </c>
      <c r="B78" s="557">
        <f>'RREO-Anexo 06'!B131</f>
        <v>0</v>
      </c>
      <c r="C78" s="344">
        <f>'RREO-Anexo 06'!B122</f>
        <v>180587109.17000014</v>
      </c>
      <c r="D78" s="317">
        <f>IF(C78&gt;0,B78*100/C78,0)</f>
        <v>0</v>
      </c>
      <c r="E78" s="257"/>
      <c r="F78" s="257"/>
    </row>
    <row r="79" spans="1:6" ht="11.25" customHeight="1" x14ac:dyDescent="0.2">
      <c r="A79" s="2"/>
      <c r="B79" s="256"/>
      <c r="C79" s="256"/>
      <c r="D79" s="256"/>
      <c r="E79" s="256"/>
      <c r="F79" s="257"/>
    </row>
    <row r="80" spans="1:6" ht="11.25" hidden="1" customHeight="1" x14ac:dyDescent="0.2">
      <c r="A80" s="2"/>
      <c r="B80" s="256"/>
      <c r="C80" s="256"/>
      <c r="D80" s="256"/>
      <c r="E80" s="256"/>
      <c r="F80" s="257"/>
    </row>
    <row r="81" spans="1:6" ht="11.25" hidden="1" customHeight="1" x14ac:dyDescent="0.2">
      <c r="A81" s="2"/>
      <c r="B81" s="256"/>
      <c r="C81" s="256"/>
      <c r="D81" s="256"/>
      <c r="E81" s="256"/>
      <c r="F81" s="257"/>
    </row>
    <row r="82" spans="1:6" ht="11.25" hidden="1" customHeight="1" x14ac:dyDescent="0.2">
      <c r="A82" s="2"/>
      <c r="B82" s="256"/>
      <c r="C82" s="256"/>
      <c r="D82" s="256"/>
      <c r="E82" s="256"/>
      <c r="F82" s="257"/>
    </row>
    <row r="83" spans="1:6" ht="11.25" hidden="1" customHeight="1" x14ac:dyDescent="0.2">
      <c r="A83" s="2"/>
      <c r="B83" s="256"/>
      <c r="C83" s="256"/>
      <c r="D83" s="256"/>
      <c r="E83" s="256"/>
      <c r="F83" s="257"/>
    </row>
    <row r="84" spans="1:6" ht="11.25" hidden="1" customHeight="1" x14ac:dyDescent="0.2">
      <c r="B84" s="257"/>
      <c r="C84" s="269"/>
      <c r="D84" s="257"/>
      <c r="E84" s="257"/>
      <c r="F84" s="257"/>
    </row>
    <row r="85" spans="1:6" ht="11.25" customHeight="1" x14ac:dyDescent="0.2">
      <c r="A85" s="1112" t="s">
        <v>51</v>
      </c>
      <c r="B85" s="273" t="s">
        <v>257</v>
      </c>
      <c r="C85" s="270" t="s">
        <v>258</v>
      </c>
      <c r="D85" s="274" t="s">
        <v>679</v>
      </c>
      <c r="E85" s="270" t="s">
        <v>259</v>
      </c>
      <c r="F85" s="257"/>
    </row>
    <row r="86" spans="1:6" ht="11.25" customHeight="1" x14ac:dyDescent="0.2">
      <c r="A86" s="1113"/>
      <c r="B86" s="275"/>
      <c r="C86" s="272" t="str">
        <f>CONCATENATE("Até o  ", B12)</f>
        <v>Até o  Bimestre</v>
      </c>
      <c r="D86" s="276" t="str">
        <f>CONCATENATE("Até o  ", B12)</f>
        <v>Até o  Bimestre</v>
      </c>
      <c r="E86" s="272" t="s">
        <v>7</v>
      </c>
      <c r="F86" s="257"/>
    </row>
    <row r="87" spans="1:6" ht="11.25" customHeight="1" x14ac:dyDescent="0.2">
      <c r="A87" s="5" t="s">
        <v>260</v>
      </c>
      <c r="B87" s="375">
        <f>SUM(B88:B92)</f>
        <v>25227565.879999999</v>
      </c>
      <c r="C87" s="323">
        <f>SUM(C88:C92)</f>
        <v>132266.36000000002</v>
      </c>
      <c r="D87" s="324">
        <f>SUM(D88:D92)</f>
        <v>25095299.52</v>
      </c>
      <c r="E87" s="323">
        <f>SUM(E88:E92)</f>
        <v>-6.0390448197722435E-10</v>
      </c>
      <c r="F87" s="257"/>
    </row>
    <row r="88" spans="1:6" ht="11.25" customHeight="1" x14ac:dyDescent="0.2">
      <c r="A88" s="5" t="s">
        <v>261</v>
      </c>
      <c r="B88" s="375">
        <f>'RREO-Anexo 07'!B23+'RREO-Anexo 07'!C23+'RREO-Anexo 07'!B40+'RREO-Anexo 07'!C40</f>
        <v>25218297.34</v>
      </c>
      <c r="C88" s="320">
        <f>'RREO-Anexo 07'!E23+'RREO-Anexo 07'!E40</f>
        <v>132266.36000000002</v>
      </c>
      <c r="D88" s="321">
        <f>'RREO-Anexo 07'!D23+'RREO-Anexo 07'!D40</f>
        <v>25086030.98</v>
      </c>
      <c r="E88" s="323">
        <f>'RREO-Anexo 07'!F23+'RREO-Anexo 07'!F40</f>
        <v>-6.0390448197722435E-10</v>
      </c>
      <c r="F88" s="257"/>
    </row>
    <row r="89" spans="1:6" ht="11.25" customHeight="1" x14ac:dyDescent="0.2">
      <c r="A89" s="5" t="s">
        <v>262</v>
      </c>
      <c r="B89" s="323">
        <f>'RREO-Anexo 07'!B24+'RREO-Anexo 07'!C24+'RREO-Anexo 07'!B41+'RREO-Anexo 07'!C41</f>
        <v>9268.5400000000009</v>
      </c>
      <c r="C89" s="320">
        <f>'RREO-Anexo 07'!E24+'RREO-Anexo 07'!E41</f>
        <v>0</v>
      </c>
      <c r="D89" s="321">
        <f>'RREO-Anexo 07'!D24+'RREO-Anexo 07'!D41</f>
        <v>9268.5400000000009</v>
      </c>
      <c r="E89" s="323">
        <f>'RREO-Anexo 07'!F24+'RREO-Anexo 07'!F41</f>
        <v>0</v>
      </c>
      <c r="F89" s="257"/>
    </row>
    <row r="90" spans="1:6" ht="11.25" customHeight="1" x14ac:dyDescent="0.2">
      <c r="A90" s="5" t="s">
        <v>263</v>
      </c>
      <c r="B90" s="323"/>
      <c r="C90" s="320"/>
      <c r="D90" s="321"/>
      <c r="E90" s="323"/>
      <c r="F90" s="257"/>
    </row>
    <row r="91" spans="1:6" ht="11.25" customHeight="1" x14ac:dyDescent="0.2">
      <c r="A91" s="5" t="s">
        <v>264</v>
      </c>
      <c r="B91" s="323"/>
      <c r="C91" s="320"/>
      <c r="D91" s="321"/>
      <c r="E91" s="323"/>
      <c r="F91" s="257"/>
    </row>
    <row r="92" spans="1:6" ht="11.25" customHeight="1" x14ac:dyDescent="0.2">
      <c r="A92" s="5" t="s">
        <v>783</v>
      </c>
      <c r="B92" s="323"/>
      <c r="C92" s="320"/>
      <c r="D92" s="321"/>
      <c r="E92" s="323"/>
      <c r="F92" s="257"/>
    </row>
    <row r="93" spans="1:6" ht="11.25" customHeight="1" x14ac:dyDescent="0.2">
      <c r="A93" s="5" t="s">
        <v>265</v>
      </c>
      <c r="B93" s="323">
        <f>SUM(B94:B98)</f>
        <v>70731595.659999982</v>
      </c>
      <c r="C93" s="323">
        <f>SUM(C94:C98)</f>
        <v>8510906.9900000002</v>
      </c>
      <c r="D93" s="321">
        <f>SUM(D94:D98)</f>
        <v>60353434.270000003</v>
      </c>
      <c r="E93" s="323">
        <f>SUM(E94:E98)</f>
        <v>1867254.3999999873</v>
      </c>
      <c r="F93" s="257"/>
    </row>
    <row r="94" spans="1:6" ht="11.25" customHeight="1" x14ac:dyDescent="0.2">
      <c r="A94" s="5" t="s">
        <v>261</v>
      </c>
      <c r="B94" s="323">
        <f>'RREO-Anexo 07'!G23+'RREO-Anexo 07'!H23+'RREO-Anexo 07'!G40+'RREO-Anexo 07'!H40</f>
        <v>68793894.559999987</v>
      </c>
      <c r="C94" s="320">
        <f>'RREO-Anexo 07'!K23+'RREO-Anexo 07'!K40</f>
        <v>8387893.0700000003</v>
      </c>
      <c r="D94" s="321">
        <f>'RREO-Anexo 07'!J23+'RREO-Anexo 07'!J40</f>
        <v>58552493.75</v>
      </c>
      <c r="E94" s="323">
        <f>B94-C94-D94</f>
        <v>1853507.7399999872</v>
      </c>
      <c r="F94" s="257"/>
    </row>
    <row r="95" spans="1:6" ht="11.25" customHeight="1" x14ac:dyDescent="0.2">
      <c r="A95" s="5" t="s">
        <v>262</v>
      </c>
      <c r="B95" s="323">
        <f>'RREO-Anexo 07'!G24+'RREO-Anexo 07'!H24+'RREO-Anexo 07'!G41+'RREO-Anexo 07'!H41</f>
        <v>1937701.1</v>
      </c>
      <c r="C95" s="320">
        <f>'RREO-Anexo 07'!K24+'RREO-Anexo 07'!K41</f>
        <v>123013.92</v>
      </c>
      <c r="D95" s="321">
        <f>'RREO-Anexo 07'!J24+'RREO-Anexo 07'!J41</f>
        <v>1800940.52</v>
      </c>
      <c r="E95" s="323">
        <f>B95-C95-D95</f>
        <v>13746.660000000149</v>
      </c>
      <c r="F95" s="257"/>
    </row>
    <row r="96" spans="1:6" ht="11.25" customHeight="1" x14ac:dyDescent="0.2">
      <c r="A96" s="5" t="s">
        <v>263</v>
      </c>
      <c r="B96" s="323"/>
      <c r="C96" s="320"/>
      <c r="D96" s="321"/>
      <c r="E96" s="323"/>
      <c r="F96" s="257"/>
    </row>
    <row r="97" spans="1:6" ht="11.25" customHeight="1" x14ac:dyDescent="0.2">
      <c r="A97" s="5" t="s">
        <v>264</v>
      </c>
      <c r="B97" s="323"/>
      <c r="C97" s="320"/>
      <c r="D97" s="321"/>
      <c r="E97" s="323"/>
      <c r="F97" s="257"/>
    </row>
    <row r="98" spans="1:6" ht="11.25" customHeight="1" x14ac:dyDescent="0.2">
      <c r="A98" s="5" t="s">
        <v>783</v>
      </c>
      <c r="B98" s="323"/>
      <c r="C98" s="320"/>
      <c r="D98" s="322"/>
      <c r="E98" s="325"/>
      <c r="F98" s="257"/>
    </row>
    <row r="99" spans="1:6" ht="11.25" customHeight="1" x14ac:dyDescent="0.2">
      <c r="A99" s="14" t="s">
        <v>122</v>
      </c>
      <c r="B99" s="326">
        <f>B93+B87</f>
        <v>95959161.539999977</v>
      </c>
      <c r="C99" s="326">
        <f>C93+C87</f>
        <v>8643173.3499999996</v>
      </c>
      <c r="D99" s="326">
        <f>D93+D87</f>
        <v>85448733.790000007</v>
      </c>
      <c r="E99" s="326">
        <f>E93+E87</f>
        <v>1867254.3999999866</v>
      </c>
      <c r="F99" s="257"/>
    </row>
    <row r="100" spans="1:6" ht="12" customHeight="1" x14ac:dyDescent="0.2">
      <c r="A100" s="2"/>
      <c r="B100" s="256"/>
      <c r="C100" s="256"/>
      <c r="D100" s="256"/>
      <c r="E100" s="256"/>
      <c r="F100" s="256"/>
    </row>
    <row r="101" spans="1:6" ht="11.25" hidden="1" customHeight="1" x14ac:dyDescent="0.2">
      <c r="A101" s="2"/>
      <c r="B101" s="256"/>
      <c r="C101" s="256"/>
      <c r="D101" s="256"/>
      <c r="E101" s="256"/>
      <c r="F101" s="256"/>
    </row>
    <row r="102" spans="1:6" ht="11.25" hidden="1" customHeight="1" x14ac:dyDescent="0.2">
      <c r="A102" s="2"/>
      <c r="B102" s="256"/>
      <c r="C102" s="256"/>
      <c r="D102" s="256"/>
      <c r="E102" s="256"/>
      <c r="F102" s="256"/>
    </row>
    <row r="103" spans="1:6" ht="11.25" hidden="1" customHeight="1" x14ac:dyDescent="0.2">
      <c r="A103" s="2"/>
      <c r="B103" s="256"/>
      <c r="C103" s="256"/>
      <c r="D103" s="256"/>
      <c r="E103" s="256"/>
      <c r="F103" s="256"/>
    </row>
    <row r="104" spans="1:6" ht="11.25" hidden="1" customHeight="1" x14ac:dyDescent="0.2">
      <c r="A104" s="2"/>
      <c r="B104" s="256"/>
      <c r="C104" s="256"/>
      <c r="D104" s="256"/>
      <c r="E104" s="256"/>
      <c r="F104" s="256"/>
    </row>
    <row r="105" spans="1:6" ht="11.25" hidden="1" customHeight="1" x14ac:dyDescent="0.2">
      <c r="A105" s="2"/>
      <c r="B105" s="256"/>
      <c r="C105" s="256"/>
      <c r="D105" s="256"/>
      <c r="E105" s="256"/>
      <c r="F105" s="256"/>
    </row>
    <row r="106" spans="1:6" ht="11.25" customHeight="1" x14ac:dyDescent="0.2">
      <c r="A106" s="156"/>
      <c r="B106" s="274" t="s">
        <v>266</v>
      </c>
      <c r="C106" s="277" t="s">
        <v>267</v>
      </c>
      <c r="D106" s="278"/>
      <c r="E106" s="257"/>
      <c r="F106" s="257"/>
    </row>
    <row r="107" spans="1:6" ht="11.25" customHeight="1" x14ac:dyDescent="0.2">
      <c r="A107" s="158" t="s">
        <v>53</v>
      </c>
      <c r="B107" s="279" t="s">
        <v>84</v>
      </c>
      <c r="C107" s="274" t="s">
        <v>268</v>
      </c>
      <c r="D107" s="270" t="s">
        <v>927</v>
      </c>
      <c r="E107" s="257"/>
      <c r="F107" s="257"/>
    </row>
    <row r="108" spans="1:6" ht="11.25" customHeight="1" x14ac:dyDescent="0.2">
      <c r="A108" s="161"/>
      <c r="B108" s="272"/>
      <c r="C108" s="276" t="s">
        <v>315</v>
      </c>
      <c r="D108" s="272" t="str">
        <f>CONCATENATE("Até o  ", B12)</f>
        <v>Até o  Bimestre</v>
      </c>
      <c r="E108" s="257"/>
      <c r="F108" s="257"/>
    </row>
    <row r="109" spans="1:6" ht="11.25" customHeight="1" x14ac:dyDescent="0.2">
      <c r="A109" s="15" t="s">
        <v>52</v>
      </c>
      <c r="B109" s="314">
        <f>'RREO-Anexo 08'!B144</f>
        <v>196513479.31</v>
      </c>
      <c r="C109" s="713">
        <v>25</v>
      </c>
      <c r="D109" s="312">
        <f>'RREO-Anexo 08'!B146</f>
        <v>28.28584222963438</v>
      </c>
      <c r="E109" s="257"/>
      <c r="F109" s="257"/>
    </row>
    <row r="110" spans="1:6" ht="11.25" customHeight="1" x14ac:dyDescent="0.2">
      <c r="A110" s="15" t="s">
        <v>54</v>
      </c>
      <c r="B110" s="314"/>
      <c r="C110" s="713"/>
      <c r="D110" s="314"/>
      <c r="E110" s="257"/>
      <c r="F110" s="257"/>
    </row>
    <row r="111" spans="1:6" ht="11.25" customHeight="1" x14ac:dyDescent="0.2">
      <c r="A111" s="15" t="s">
        <v>55</v>
      </c>
      <c r="B111" s="314">
        <f>'RREO-Anexo 08'!F88+'RREO-Anexo 08'!H88-('RREO-Anexo 08'!B98+'RREO-Anexo 08'!B101)</f>
        <v>89879025.599999994</v>
      </c>
      <c r="C111" s="713">
        <v>60</v>
      </c>
      <c r="D111" s="314">
        <f>'RREO-Anexo 08'!B107</f>
        <v>74.782721371041049</v>
      </c>
      <c r="E111" s="257"/>
      <c r="F111" s="257"/>
    </row>
    <row r="112" spans="1:6" ht="11.25" customHeight="1" x14ac:dyDescent="0.2">
      <c r="A112" s="11" t="s">
        <v>56</v>
      </c>
      <c r="B112" s="317"/>
      <c r="C112" s="760"/>
      <c r="D112" s="317"/>
      <c r="E112" s="257"/>
      <c r="F112" s="257"/>
    </row>
    <row r="113" spans="1:7" ht="11.25" customHeight="1" x14ac:dyDescent="0.2">
      <c r="A113" s="2"/>
      <c r="B113" s="256"/>
      <c r="C113" s="280"/>
      <c r="D113" s="281"/>
      <c r="E113" s="281"/>
      <c r="F113" s="257"/>
    </row>
    <row r="114" spans="1:7" ht="11.25" hidden="1" customHeight="1" x14ac:dyDescent="0.2">
      <c r="A114" s="2"/>
      <c r="B114" s="256"/>
      <c r="C114" s="280"/>
      <c r="D114" s="281"/>
      <c r="E114" s="281"/>
      <c r="F114" s="257"/>
    </row>
    <row r="115" spans="1:7" ht="11.25" hidden="1" customHeight="1" x14ac:dyDescent="0.2">
      <c r="A115" s="2"/>
      <c r="B115" s="256"/>
      <c r="C115" s="280"/>
      <c r="D115" s="281"/>
      <c r="E115" s="281"/>
      <c r="F115" s="257"/>
    </row>
    <row r="116" spans="1:7" ht="11.25" hidden="1" customHeight="1" x14ac:dyDescent="0.2">
      <c r="A116" s="2"/>
      <c r="B116" s="256"/>
      <c r="C116" s="280"/>
      <c r="D116" s="281"/>
      <c r="E116" s="281"/>
      <c r="F116" s="257"/>
    </row>
    <row r="117" spans="1:7" ht="11.25" hidden="1" customHeight="1" x14ac:dyDescent="0.2">
      <c r="A117" s="2"/>
      <c r="B117" s="256"/>
      <c r="C117" s="280"/>
      <c r="D117" s="281"/>
      <c r="E117" s="281"/>
      <c r="F117" s="257"/>
    </row>
    <row r="118" spans="1:7" ht="11.25" hidden="1" customHeight="1" x14ac:dyDescent="0.2">
      <c r="A118" s="2"/>
      <c r="B118" s="256"/>
      <c r="C118" s="280"/>
      <c r="D118" s="281"/>
      <c r="E118" s="281"/>
      <c r="F118" s="257"/>
    </row>
    <row r="119" spans="1:7" ht="11.25" hidden="1" customHeight="1" x14ac:dyDescent="0.2">
      <c r="A119" s="2"/>
      <c r="B119" s="256"/>
      <c r="C119" s="280"/>
      <c r="D119" s="281"/>
      <c r="E119" s="281"/>
      <c r="F119" s="257"/>
    </row>
    <row r="120" spans="1:7" s="3" customFormat="1" ht="21.75" customHeight="1" x14ac:dyDescent="0.2">
      <c r="A120" s="262" t="s">
        <v>316</v>
      </c>
      <c r="B120" s="282" t="s">
        <v>317</v>
      </c>
      <c r="C120" s="265" t="s">
        <v>349</v>
      </c>
      <c r="D120" s="266"/>
      <c r="E120" s="266"/>
      <c r="F120" s="266"/>
    </row>
    <row r="121" spans="1:7" ht="11.25" customHeight="1" x14ac:dyDescent="0.2">
      <c r="A121" s="16" t="s">
        <v>319</v>
      </c>
      <c r="B121" s="315">
        <f>'RREO-Anexo 09'!C19</f>
        <v>448485.81</v>
      </c>
      <c r="C121" s="312">
        <f>'RREO-Anexo 09'!D19</f>
        <v>14833622.949999999</v>
      </c>
      <c r="D121" s="257"/>
      <c r="E121" s="257"/>
      <c r="F121" s="257"/>
    </row>
    <row r="122" spans="1:7" ht="11.25" customHeight="1" x14ac:dyDescent="0.2">
      <c r="A122" s="11" t="s">
        <v>320</v>
      </c>
      <c r="B122" s="344">
        <f>'RREO-Anexo 09'!C30</f>
        <v>149883126.35999998</v>
      </c>
      <c r="C122" s="317">
        <f>'RREO-Anexo 09'!D30</f>
        <v>49219233.409999996</v>
      </c>
      <c r="D122" s="257"/>
      <c r="E122" s="257"/>
      <c r="F122" s="257"/>
    </row>
    <row r="123" spans="1:7" ht="11.25" customHeight="1" x14ac:dyDescent="0.2">
      <c r="A123" s="2"/>
      <c r="B123" s="256"/>
      <c r="C123" s="256"/>
      <c r="D123" s="256"/>
      <c r="E123" s="256"/>
      <c r="F123" s="256"/>
      <c r="G123" s="2"/>
    </row>
    <row r="124" spans="1:7" ht="11.25" hidden="1" customHeight="1" x14ac:dyDescent="0.2">
      <c r="A124" s="2"/>
      <c r="B124" s="256"/>
      <c r="C124" s="256"/>
      <c r="D124" s="256"/>
      <c r="E124" s="256"/>
      <c r="F124" s="256"/>
      <c r="G124" s="2"/>
    </row>
    <row r="125" spans="1:7" ht="11.25" hidden="1" customHeight="1" x14ac:dyDescent="0.2">
      <c r="A125" s="2"/>
      <c r="B125" s="256"/>
      <c r="C125" s="256"/>
      <c r="D125" s="256"/>
      <c r="E125" s="256"/>
      <c r="F125" s="256"/>
      <c r="G125" s="2"/>
    </row>
    <row r="126" spans="1:7" ht="11.25" hidden="1" customHeight="1" x14ac:dyDescent="0.2">
      <c r="A126" s="2"/>
      <c r="B126" s="256"/>
      <c r="C126" s="256"/>
      <c r="D126" s="256"/>
      <c r="E126" s="256"/>
      <c r="F126" s="256"/>
      <c r="G126" s="2"/>
    </row>
    <row r="127" spans="1:7" ht="11.25" hidden="1" customHeight="1" x14ac:dyDescent="0.2">
      <c r="A127" s="2"/>
      <c r="B127" s="256"/>
      <c r="C127" s="256"/>
      <c r="D127" s="256"/>
      <c r="E127" s="256"/>
      <c r="F127" s="256"/>
      <c r="G127" s="2"/>
    </row>
    <row r="128" spans="1:7" ht="11.25" hidden="1" customHeight="1" x14ac:dyDescent="0.2">
      <c r="A128" s="2"/>
      <c r="B128" s="256"/>
      <c r="C128" s="256"/>
      <c r="D128" s="256"/>
      <c r="E128" s="256"/>
      <c r="F128" s="256"/>
      <c r="G128" s="2"/>
    </row>
    <row r="129" spans="1:7" ht="11.25" hidden="1" customHeight="1" x14ac:dyDescent="0.2">
      <c r="A129" s="2"/>
      <c r="B129" s="256"/>
      <c r="C129" s="256"/>
      <c r="D129" s="256"/>
      <c r="E129" s="256"/>
      <c r="F129" s="256"/>
      <c r="G129" s="2"/>
    </row>
    <row r="130" spans="1:7" s="3" customFormat="1" ht="21.75" customHeight="1" x14ac:dyDescent="0.2">
      <c r="A130" s="162" t="s">
        <v>321</v>
      </c>
      <c r="B130" s="265" t="s">
        <v>322</v>
      </c>
      <c r="C130" s="283" t="s">
        <v>323</v>
      </c>
      <c r="D130" s="265" t="s">
        <v>324</v>
      </c>
      <c r="E130" s="265" t="s">
        <v>325</v>
      </c>
      <c r="F130" s="266"/>
    </row>
    <row r="131" spans="1:7" ht="11.25" customHeight="1" x14ac:dyDescent="0.2">
      <c r="A131" s="15" t="s">
        <v>246</v>
      </c>
      <c r="B131" s="312"/>
      <c r="C131" s="312"/>
      <c r="D131" s="312"/>
      <c r="E131" s="312"/>
      <c r="F131" s="257"/>
    </row>
    <row r="132" spans="1:7" ht="11.25" customHeight="1" x14ac:dyDescent="0.2">
      <c r="A132" s="15" t="s">
        <v>247</v>
      </c>
      <c r="B132" s="314"/>
      <c r="C132" s="314"/>
      <c r="D132" s="314"/>
      <c r="E132" s="314"/>
      <c r="F132" s="257"/>
    </row>
    <row r="133" spans="1:7" ht="11.25" customHeight="1" x14ac:dyDescent="0.2">
      <c r="A133" s="15" t="s">
        <v>248</v>
      </c>
      <c r="B133" s="314"/>
      <c r="C133" s="314"/>
      <c r="D133" s="314"/>
      <c r="E133" s="314"/>
      <c r="F133" s="257"/>
    </row>
    <row r="134" spans="1:7" ht="11.25" customHeight="1" x14ac:dyDescent="0.2">
      <c r="A134" s="15" t="s">
        <v>72</v>
      </c>
      <c r="B134" s="314"/>
      <c r="C134" s="314"/>
      <c r="D134" s="314"/>
      <c r="E134" s="314"/>
      <c r="F134" s="257"/>
    </row>
    <row r="135" spans="1:7" ht="11.25" customHeight="1" x14ac:dyDescent="0.2">
      <c r="A135" s="15" t="s">
        <v>337</v>
      </c>
      <c r="B135" s="314">
        <f>B138</f>
        <v>85406035.139999986</v>
      </c>
      <c r="C135" s="314">
        <f>C138</f>
        <v>19182647.48999998</v>
      </c>
      <c r="D135" s="314">
        <f>D138</f>
        <v>-43132928.4551</v>
      </c>
      <c r="E135" s="314">
        <f>E138</f>
        <v>-53859591.685100004</v>
      </c>
      <c r="F135" s="257"/>
    </row>
    <row r="136" spans="1:7" ht="11.25" customHeight="1" x14ac:dyDescent="0.2">
      <c r="A136" s="15" t="s">
        <v>8</v>
      </c>
      <c r="B136" s="314">
        <f>'RREO-Anexo 10'!B22</f>
        <v>148685377.63999999</v>
      </c>
      <c r="C136" s="314">
        <f>'RREO-Anexo 10'!B32</f>
        <v>168832554.19999999</v>
      </c>
      <c r="D136" s="314">
        <f>'RREO-Anexo 10'!B42</f>
        <v>140156885.43489999</v>
      </c>
      <c r="E136" s="314">
        <f>'RREO-Anexo 10'!B57</f>
        <v>66115803.094899997</v>
      </c>
      <c r="F136" s="257"/>
    </row>
    <row r="137" spans="1:7" ht="11.25" customHeight="1" x14ac:dyDescent="0.2">
      <c r="A137" s="15" t="s">
        <v>9</v>
      </c>
      <c r="B137" s="314">
        <f>'RREO-Anexo 10'!C22</f>
        <v>63279342.5</v>
      </c>
      <c r="C137" s="314">
        <f>'RREO-Anexo 10'!C32</f>
        <v>149649906.71000001</v>
      </c>
      <c r="D137" s="314">
        <f>'RREO-Anexo 10'!C42</f>
        <v>183289813.88999999</v>
      </c>
      <c r="E137" s="314">
        <f>'RREO-Anexo 10'!C57</f>
        <v>119975394.78</v>
      </c>
      <c r="F137" s="257"/>
    </row>
    <row r="138" spans="1:7" ht="11.25" customHeight="1" x14ac:dyDescent="0.2">
      <c r="A138" s="11" t="s">
        <v>73</v>
      </c>
      <c r="B138" s="317">
        <f>B136-B137</f>
        <v>85406035.139999986</v>
      </c>
      <c r="C138" s="317">
        <f>C136-C137</f>
        <v>19182647.48999998</v>
      </c>
      <c r="D138" s="317">
        <f>D136-D137</f>
        <v>-43132928.4551</v>
      </c>
      <c r="E138" s="317">
        <f>E136-E137</f>
        <v>-53859591.685100004</v>
      </c>
      <c r="F138" s="257"/>
    </row>
    <row r="139" spans="1:7" ht="11.25" customHeight="1" x14ac:dyDescent="0.2">
      <c r="A139" s="2"/>
      <c r="B139" s="256"/>
      <c r="C139" s="281"/>
      <c r="D139" s="256"/>
      <c r="E139" s="256"/>
      <c r="F139" s="256"/>
    </row>
    <row r="140" spans="1:7" ht="11.25" hidden="1" customHeight="1" x14ac:dyDescent="0.2">
      <c r="A140" s="2"/>
      <c r="B140" s="256"/>
      <c r="C140" s="281"/>
      <c r="D140" s="256"/>
      <c r="E140" s="256"/>
      <c r="F140" s="256"/>
    </row>
    <row r="141" spans="1:7" ht="11.25" hidden="1" customHeight="1" x14ac:dyDescent="0.2">
      <c r="A141" s="2"/>
      <c r="B141" s="256"/>
      <c r="C141" s="281"/>
      <c r="D141" s="256"/>
      <c r="E141" s="256"/>
      <c r="F141" s="256"/>
    </row>
    <row r="142" spans="1:7" ht="11.25" hidden="1" customHeight="1" x14ac:dyDescent="0.2">
      <c r="A142" s="2"/>
      <c r="B142" s="256"/>
      <c r="C142" s="281"/>
      <c r="D142" s="256"/>
      <c r="E142" s="256"/>
      <c r="F142" s="256"/>
    </row>
    <row r="143" spans="1:7" ht="11.25" hidden="1" customHeight="1" x14ac:dyDescent="0.2">
      <c r="A143" s="2"/>
      <c r="B143" s="256"/>
      <c r="C143" s="281"/>
      <c r="D143" s="256"/>
      <c r="E143" s="256"/>
      <c r="F143" s="256"/>
    </row>
    <row r="144" spans="1:7" ht="11.25" hidden="1" customHeight="1" x14ac:dyDescent="0.2">
      <c r="A144" s="2"/>
      <c r="B144" s="256"/>
      <c r="C144" s="281"/>
      <c r="D144" s="256"/>
      <c r="E144" s="256"/>
      <c r="F144" s="256"/>
    </row>
    <row r="145" spans="1:6" ht="11.25" hidden="1" customHeight="1" x14ac:dyDescent="0.2">
      <c r="A145" s="2"/>
      <c r="B145" s="256"/>
      <c r="C145" s="281"/>
      <c r="D145" s="256"/>
      <c r="E145" s="256"/>
      <c r="F145" s="256"/>
    </row>
    <row r="146" spans="1:6" s="3" customFormat="1" ht="21" customHeight="1" x14ac:dyDescent="0.2">
      <c r="A146" s="162" t="s">
        <v>326</v>
      </c>
      <c r="B146" s="282" t="s">
        <v>317</v>
      </c>
      <c r="C146" s="265" t="s">
        <v>318</v>
      </c>
      <c r="D146" s="266"/>
      <c r="E146" s="266"/>
      <c r="F146" s="266"/>
    </row>
    <row r="147" spans="1:6" ht="11.25" customHeight="1" x14ac:dyDescent="0.2">
      <c r="A147" s="15" t="s">
        <v>327</v>
      </c>
      <c r="B147" s="315">
        <f>'RREO-Anexo 11'!C19</f>
        <v>1930005.6</v>
      </c>
      <c r="C147" s="312">
        <f>'RREO-Anexo 11'!D19</f>
        <v>-1909905.6</v>
      </c>
      <c r="D147" s="257"/>
      <c r="E147" s="257"/>
      <c r="F147" s="257"/>
    </row>
    <row r="148" spans="1:6" ht="11.25" customHeight="1" x14ac:dyDescent="0.2">
      <c r="A148" s="11" t="s">
        <v>328</v>
      </c>
      <c r="B148" s="344">
        <f>'RREO-Anexo 11'!C28</f>
        <v>109597.13</v>
      </c>
      <c r="C148" s="317">
        <f>'RREO-Anexo 11'!H28</f>
        <v>20100</v>
      </c>
      <c r="D148" s="257"/>
      <c r="E148" s="257"/>
      <c r="F148" s="257"/>
    </row>
    <row r="149" spans="1:6" ht="11.25" customHeight="1" x14ac:dyDescent="0.2">
      <c r="A149" s="2"/>
      <c r="B149" s="256"/>
      <c r="C149" s="281"/>
      <c r="D149" s="256"/>
      <c r="E149" s="256"/>
      <c r="F149" s="256"/>
    </row>
    <row r="150" spans="1:6" ht="11.25" hidden="1" customHeight="1" x14ac:dyDescent="0.2">
      <c r="A150" s="2"/>
      <c r="B150" s="256"/>
      <c r="C150" s="281"/>
      <c r="D150" s="256"/>
      <c r="E150" s="256"/>
      <c r="F150" s="256"/>
    </row>
    <row r="151" spans="1:6" ht="11.25" hidden="1" customHeight="1" x14ac:dyDescent="0.2">
      <c r="A151" s="2"/>
      <c r="B151" s="256"/>
      <c r="C151" s="281"/>
      <c r="D151" s="256"/>
      <c r="E151" s="256"/>
      <c r="F151" s="256"/>
    </row>
    <row r="152" spans="1:6" ht="11.25" hidden="1" customHeight="1" x14ac:dyDescent="0.2">
      <c r="A152" s="2"/>
      <c r="B152" s="256"/>
      <c r="C152" s="281"/>
      <c r="D152" s="256"/>
      <c r="E152" s="256"/>
      <c r="F152" s="256"/>
    </row>
    <row r="153" spans="1:6" ht="11.25" hidden="1" customHeight="1" x14ac:dyDescent="0.2">
      <c r="A153" s="2"/>
      <c r="B153" s="256"/>
      <c r="C153" s="281"/>
      <c r="D153" s="256"/>
      <c r="E153" s="256"/>
      <c r="F153" s="256"/>
    </row>
    <row r="154" spans="1:6" ht="11.25" hidden="1" customHeight="1" x14ac:dyDescent="0.2">
      <c r="A154" s="2"/>
      <c r="B154" s="256"/>
      <c r="C154" s="281"/>
      <c r="D154" s="256"/>
      <c r="E154" s="256"/>
      <c r="F154" s="257"/>
    </row>
    <row r="155" spans="1:6" ht="11.25" customHeight="1" x14ac:dyDescent="0.2">
      <c r="A155" s="156"/>
      <c r="B155" s="284" t="s">
        <v>329</v>
      </c>
      <c r="C155" s="277" t="s">
        <v>330</v>
      </c>
      <c r="D155" s="285"/>
      <c r="E155" s="257"/>
      <c r="F155" s="257"/>
    </row>
    <row r="156" spans="1:6" ht="11.25" customHeight="1" x14ac:dyDescent="0.2">
      <c r="A156" s="158" t="s">
        <v>222</v>
      </c>
      <c r="B156" s="286" t="s">
        <v>84</v>
      </c>
      <c r="C156" s="274" t="s">
        <v>268</v>
      </c>
      <c r="D156" s="270" t="s">
        <v>927</v>
      </c>
      <c r="E156" s="257"/>
      <c r="F156" s="257"/>
    </row>
    <row r="157" spans="1:6" ht="11.25" customHeight="1" x14ac:dyDescent="0.2">
      <c r="A157" s="161"/>
      <c r="B157" s="287"/>
      <c r="C157" s="272" t="s">
        <v>315</v>
      </c>
      <c r="D157" s="272" t="str">
        <f>IF(IFERROR(FIND("TRIMESTRE",A12,1),0)&gt;0,"Até o Trimestre",IF(IFERROR(FIND("BIMESTRE",A12,1),0)&gt;0,"Até o Bimestre","Até o Mês"))</f>
        <v>Até o Mês</v>
      </c>
      <c r="E157" s="257"/>
      <c r="F157" s="257"/>
    </row>
    <row r="158" spans="1:6" ht="11.25" customHeight="1" x14ac:dyDescent="0.2">
      <c r="A158" s="14" t="s">
        <v>532</v>
      </c>
      <c r="B158" s="747">
        <f>'RREO-Anexo 12'!F81+'RREO-Anexo 12'!H81</f>
        <v>196320047.73000008</v>
      </c>
      <c r="C158" s="318">
        <v>15</v>
      </c>
      <c r="D158" s="318">
        <f>'RREO-Anexo 12'!B83</f>
        <v>26.914368559553925</v>
      </c>
      <c r="E158" s="257"/>
      <c r="F158" s="257"/>
    </row>
    <row r="159" spans="1:6" ht="11.25" customHeight="1" x14ac:dyDescent="0.2">
      <c r="A159" s="2"/>
      <c r="B159" s="256"/>
      <c r="C159" s="288"/>
      <c r="D159" s="256"/>
      <c r="E159" s="256"/>
      <c r="F159" s="256"/>
    </row>
    <row r="160" spans="1:6" ht="11.25" hidden="1" customHeight="1" x14ac:dyDescent="0.2">
      <c r="A160" s="2"/>
      <c r="B160" s="256"/>
      <c r="C160" s="288"/>
      <c r="D160" s="256"/>
      <c r="E160" s="256"/>
      <c r="F160" s="256"/>
    </row>
    <row r="161" spans="1:21" ht="11.25" hidden="1" customHeight="1" x14ac:dyDescent="0.2">
      <c r="A161" s="2"/>
      <c r="B161" s="256"/>
      <c r="C161" s="288"/>
      <c r="D161" s="256"/>
      <c r="E161" s="256"/>
      <c r="F161" s="256"/>
    </row>
    <row r="162" spans="1:21" ht="11.25" hidden="1" customHeight="1" x14ac:dyDescent="0.2">
      <c r="A162" s="2"/>
      <c r="B162" s="256"/>
      <c r="C162" s="288"/>
      <c r="D162" s="256"/>
      <c r="E162" s="256"/>
      <c r="F162" s="256"/>
    </row>
    <row r="163" spans="1:21" ht="11.25" hidden="1" customHeight="1" x14ac:dyDescent="0.2">
      <c r="A163" s="2"/>
      <c r="B163" s="256"/>
      <c r="C163" s="288"/>
      <c r="D163" s="256"/>
      <c r="E163" s="256"/>
      <c r="F163" s="256"/>
    </row>
    <row r="164" spans="1:21" ht="11.25" hidden="1" customHeight="1" x14ac:dyDescent="0.2">
      <c r="A164" s="2"/>
      <c r="B164" s="256"/>
      <c r="C164" s="288"/>
      <c r="D164" s="256"/>
      <c r="E164" s="256"/>
      <c r="F164" s="256"/>
    </row>
    <row r="165" spans="1:21" ht="11.25" hidden="1" customHeight="1" x14ac:dyDescent="0.2">
      <c r="A165" s="2"/>
      <c r="B165" s="256"/>
      <c r="C165" s="288"/>
      <c r="D165" s="256"/>
      <c r="E165" s="256"/>
      <c r="F165" s="256"/>
    </row>
    <row r="166" spans="1:21" s="3" customFormat="1" ht="21.75" customHeight="1" x14ac:dyDescent="0.2">
      <c r="A166" s="263" t="s">
        <v>58</v>
      </c>
      <c r="B166" s="265" t="s">
        <v>57</v>
      </c>
      <c r="C166" s="266"/>
      <c r="D166" s="266"/>
      <c r="E166" s="266"/>
      <c r="F166" s="266"/>
    </row>
    <row r="167" spans="1:21" ht="11.25" customHeight="1" x14ac:dyDescent="0.2">
      <c r="A167" s="264" t="s">
        <v>166</v>
      </c>
      <c r="B167" s="318">
        <f>'RREO-Anexo 13'!C58</f>
        <v>0</v>
      </c>
      <c r="C167" s="257"/>
      <c r="D167" s="257"/>
      <c r="E167" s="257"/>
      <c r="F167" s="257"/>
    </row>
    <row r="168" spans="1:21" ht="12.75" x14ac:dyDescent="0.2">
      <c r="A168" s="1110" t="s">
        <v>1039</v>
      </c>
      <c r="B168" s="1111"/>
      <c r="C168" s="1111"/>
      <c r="D168" s="1111"/>
      <c r="E168" s="1111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</row>
    <row r="169" spans="1:21" ht="11.25" customHeight="1" x14ac:dyDescent="0.2">
      <c r="A169" s="2"/>
    </row>
    <row r="173" spans="1:21" ht="11.25" customHeight="1" x14ac:dyDescent="0.2">
      <c r="A173" s="439"/>
      <c r="B173" s="1109"/>
      <c r="C173" s="1109"/>
    </row>
    <row r="174" spans="1:21" ht="11.25" customHeight="1" x14ac:dyDescent="0.2">
      <c r="A174" s="872" t="s">
        <v>1024</v>
      </c>
      <c r="B174" s="881" t="s">
        <v>1026</v>
      </c>
      <c r="C174" s="4"/>
      <c r="F174" s="881"/>
    </row>
    <row r="175" spans="1:21" ht="11.25" customHeight="1" x14ac:dyDescent="0.2">
      <c r="A175" s="872" t="s">
        <v>1025</v>
      </c>
      <c r="B175" s="881" t="s">
        <v>1027</v>
      </c>
      <c r="C175" s="4"/>
      <c r="F175" s="881"/>
    </row>
    <row r="176" spans="1:21" ht="11.25" customHeight="1" x14ac:dyDescent="0.2">
      <c r="A176" s="868"/>
      <c r="B176" s="868" t="s">
        <v>1040</v>
      </c>
      <c r="C176" s="4"/>
      <c r="F176" s="868"/>
    </row>
    <row r="178" spans="1:2" ht="11.25" customHeight="1" x14ac:dyDescent="0.2">
      <c r="B178" s="881"/>
    </row>
    <row r="179" spans="1:2" ht="11.25" customHeight="1" x14ac:dyDescent="0.2">
      <c r="A179" s="881" t="s">
        <v>1028</v>
      </c>
      <c r="B179" s="881"/>
    </row>
    <row r="180" spans="1:2" ht="11.25" customHeight="1" x14ac:dyDescent="0.2">
      <c r="A180" s="893" t="s">
        <v>1029</v>
      </c>
      <c r="B180" s="893"/>
    </row>
    <row r="181" spans="1:2" ht="11.25" customHeight="1" x14ac:dyDescent="0.2">
      <c r="A181" s="868" t="s">
        <v>1041</v>
      </c>
      <c r="B181" s="868"/>
    </row>
  </sheetData>
  <mergeCells count="6">
    <mergeCell ref="A11:E11"/>
    <mergeCell ref="B173:C173"/>
    <mergeCell ref="A168:E168"/>
    <mergeCell ref="A85:A86"/>
    <mergeCell ref="A13:E13"/>
    <mergeCell ref="A14:E14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RREO-Anexo 01</vt:lpstr>
      <vt:lpstr>RREO-Anexo 02</vt:lpstr>
      <vt:lpstr>RREO-Anexo 03</vt:lpstr>
      <vt:lpstr>RREO-Anexo 04</vt:lpstr>
      <vt:lpstr>RREO-Anexo 06</vt:lpstr>
      <vt:lpstr>RREO-Anexo 07</vt:lpstr>
      <vt:lpstr>RREO-Anexo 08</vt:lpstr>
      <vt:lpstr>RREO-Anexo 09</vt:lpstr>
      <vt:lpstr>RREO-Anexo 10</vt:lpstr>
      <vt:lpstr>RREO-Anexo 11</vt:lpstr>
      <vt:lpstr>RREO-Anexo 12</vt:lpstr>
      <vt:lpstr>RREO-Anexo 13</vt:lpstr>
      <vt:lpstr>RREO-Anexo 14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luishb</cp:lastModifiedBy>
  <cp:lastPrinted>2020-01-30T11:02:23Z</cp:lastPrinted>
  <dcterms:created xsi:type="dcterms:W3CDTF">2004-08-09T19:29:24Z</dcterms:created>
  <dcterms:modified xsi:type="dcterms:W3CDTF">2020-01-30T12:57:07Z</dcterms:modified>
</cp:coreProperties>
</file>